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Z:\internship\Заплаткин\Rent or Buy, Копить или купить\"/>
    </mc:Choice>
  </mc:AlternateContent>
  <xr:revisionPtr revIDLastSave="0" documentId="13_ncr:1_{8B86BF2A-39DC-457B-9A1F-35B83C63BBF5}" xr6:coauthVersionLast="47" xr6:coauthVersionMax="47" xr10:uidLastSave="{00000000-0000-0000-0000-000000000000}"/>
  <bookViews>
    <workbookView xWindow="-120" yWindow="-120" windowWidth="29040" windowHeight="15840" activeTab="1" xr2:uid="{8D61E636-D78E-48BA-BA14-49EDC36FE3DA}"/>
  </bookViews>
  <sheets>
    <sheet name="Вступление" sheetId="3" r:id="rId1"/>
    <sheet name="Вводные" sheetId="4" r:id="rId2"/>
    <sheet name="Документация" sheetId="5" r:id="rId3"/>
    <sheet name="Рассчёты и доп. данные -&gt;" sheetId="6" r:id="rId4"/>
    <sheet name="Аренда" sheetId="7" r:id="rId5"/>
    <sheet name="Покупка" sheetId="8" r:id="rId6"/>
    <sheet name="Ипотека" sheetId="9" r:id="rId7"/>
    <sheet name="Налоговые вычеты" sheetId="10" r:id="rId8"/>
    <sheet name="Лист1" sheetId="11" state="hidden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5" i="4" l="1"/>
  <c r="D47" i="4" s="1"/>
  <c r="D38" i="4"/>
  <c r="D31" i="4"/>
  <c r="D13" i="4"/>
  <c r="D14" i="4" s="1"/>
  <c r="AU54" i="4"/>
  <c r="AV54" i="4"/>
  <c r="AW54" i="4"/>
  <c r="AX54" i="4"/>
  <c r="AY54" i="4"/>
  <c r="AZ54" i="4"/>
  <c r="BA54" i="4"/>
  <c r="AU55" i="4"/>
  <c r="AV55" i="4"/>
  <c r="AW55" i="4"/>
  <c r="AX55" i="4"/>
  <c r="AY55" i="4"/>
  <c r="AZ55" i="4"/>
  <c r="BA55" i="4"/>
  <c r="AU56" i="4"/>
  <c r="AV56" i="4"/>
  <c r="AW56" i="4"/>
  <c r="AX56" i="4"/>
  <c r="AY56" i="4"/>
  <c r="AZ56" i="4"/>
  <c r="BA56" i="4"/>
  <c r="AU57" i="4"/>
  <c r="AV57" i="4"/>
  <c r="AW57" i="4"/>
  <c r="AX57" i="4"/>
  <c r="AY57" i="4"/>
  <c r="AZ57" i="4"/>
  <c r="BA57" i="4"/>
  <c r="AU58" i="4"/>
  <c r="AV58" i="4"/>
  <c r="AW58" i="4"/>
  <c r="AX58" i="4"/>
  <c r="AY58" i="4"/>
  <c r="AZ58" i="4"/>
  <c r="BA58" i="4"/>
  <c r="AU59" i="4"/>
  <c r="AV59" i="4"/>
  <c r="AW59" i="4"/>
  <c r="AX59" i="4"/>
  <c r="AY59" i="4"/>
  <c r="AZ59" i="4"/>
  <c r="BA59" i="4"/>
  <c r="AU60" i="4"/>
  <c r="AV60" i="4"/>
  <c r="AW60" i="4"/>
  <c r="AX60" i="4"/>
  <c r="AY60" i="4"/>
  <c r="AZ60" i="4"/>
  <c r="BA60" i="4"/>
  <c r="AU61" i="4"/>
  <c r="AV61" i="4"/>
  <c r="AW61" i="4"/>
  <c r="AX61" i="4"/>
  <c r="AY61" i="4"/>
  <c r="AZ61" i="4"/>
  <c r="BA61" i="4"/>
  <c r="AT55" i="4"/>
  <c r="AT56" i="4"/>
  <c r="AT57" i="4"/>
  <c r="AT58" i="4"/>
  <c r="AT59" i="4"/>
  <c r="AT60" i="4"/>
  <c r="AT61" i="4"/>
  <c r="AT54" i="4"/>
  <c r="AU47" i="4"/>
  <c r="AH10" i="4"/>
  <c r="AS12" i="4"/>
  <c r="AT12" i="4"/>
  <c r="AU12" i="4"/>
  <c r="AV12" i="4"/>
  <c r="AW12" i="4"/>
  <c r="AS13" i="4"/>
  <c r="AT13" i="4"/>
  <c r="AU13" i="4"/>
  <c r="AV13" i="4"/>
  <c r="AW13" i="4"/>
  <c r="AS14" i="4"/>
  <c r="AT14" i="4"/>
  <c r="AU14" i="4"/>
  <c r="AV14" i="4"/>
  <c r="AW14" i="4"/>
  <c r="AS15" i="4"/>
  <c r="AT15" i="4"/>
  <c r="AU15" i="4"/>
  <c r="AV15" i="4"/>
  <c r="AW15" i="4"/>
  <c r="AS16" i="4"/>
  <c r="AT16" i="4"/>
  <c r="AU16" i="4"/>
  <c r="AV16" i="4"/>
  <c r="AW16" i="4"/>
  <c r="AI20" i="4"/>
  <c r="AH20" i="4" s="1"/>
  <c r="AK20" i="4"/>
  <c r="AL20" i="4" s="1"/>
  <c r="AS21" i="4"/>
  <c r="AT21" i="4"/>
  <c r="AU21" i="4"/>
  <c r="AV21" i="4"/>
  <c r="AW21" i="4"/>
  <c r="AG22" i="4"/>
  <c r="AG21" i="4" s="1"/>
  <c r="AS22" i="4"/>
  <c r="AT22" i="4"/>
  <c r="AU22" i="4"/>
  <c r="AV22" i="4"/>
  <c r="AW22" i="4"/>
  <c r="AS23" i="4"/>
  <c r="AT23" i="4"/>
  <c r="AU23" i="4"/>
  <c r="AV23" i="4"/>
  <c r="AW23" i="4"/>
  <c r="AG24" i="4"/>
  <c r="AG25" i="4" s="1"/>
  <c r="AS24" i="4"/>
  <c r="AT24" i="4"/>
  <c r="AU24" i="4"/>
  <c r="AV24" i="4"/>
  <c r="AW24" i="4"/>
  <c r="AS25" i="4"/>
  <c r="AT25" i="4"/>
  <c r="AU25" i="4"/>
  <c r="AV25" i="4"/>
  <c r="AW25" i="4"/>
  <c r="AS29" i="4"/>
  <c r="AT29" i="4"/>
  <c r="AU29" i="4"/>
  <c r="AV29" i="4"/>
  <c r="AW29" i="4"/>
  <c r="AS30" i="4"/>
  <c r="AT30" i="4"/>
  <c r="AU30" i="4"/>
  <c r="AV30" i="4"/>
  <c r="AW30" i="4"/>
  <c r="AS31" i="4"/>
  <c r="AT31" i="4"/>
  <c r="AU31" i="4"/>
  <c r="AV31" i="4"/>
  <c r="AW31" i="4"/>
  <c r="AS32" i="4"/>
  <c r="AT32" i="4"/>
  <c r="AU32" i="4"/>
  <c r="AV32" i="4"/>
  <c r="AW32" i="4"/>
  <c r="AS33" i="4"/>
  <c r="AT33" i="4"/>
  <c r="AU33" i="4"/>
  <c r="AV33" i="4"/>
  <c r="AW33" i="4"/>
  <c r="AG37" i="4"/>
  <c r="AV47" i="4"/>
  <c r="AW47" i="4"/>
  <c r="AX47" i="4"/>
  <c r="AY47" i="4"/>
  <c r="AU48" i="4"/>
  <c r="AV48" i="4"/>
  <c r="AW48" i="4"/>
  <c r="AX48" i="4"/>
  <c r="AY48" i="4"/>
  <c r="AU49" i="4"/>
  <c r="AV49" i="4"/>
  <c r="AW49" i="4"/>
  <c r="AX49" i="4"/>
  <c r="AY49" i="4"/>
  <c r="AU50" i="4"/>
  <c r="AV50" i="4"/>
  <c r="AW50" i="4"/>
  <c r="AX50" i="4"/>
  <c r="AY50" i="4"/>
  <c r="AU51" i="4"/>
  <c r="AV51" i="4"/>
  <c r="AW51" i="4"/>
  <c r="AX51" i="4"/>
  <c r="AY51" i="4"/>
  <c r="AT68" i="4"/>
  <c r="AU68" i="4"/>
  <c r="AV68" i="4"/>
  <c r="AW68" i="4"/>
  <c r="AX68" i="4"/>
  <c r="AY68" i="4"/>
  <c r="AT69" i="4"/>
  <c r="AU69" i="4"/>
  <c r="AV69" i="4"/>
  <c r="AW69" i="4"/>
  <c r="AX69" i="4"/>
  <c r="AY69" i="4"/>
  <c r="AT70" i="4"/>
  <c r="AU70" i="4"/>
  <c r="AV70" i="4"/>
  <c r="AW70" i="4"/>
  <c r="AX70" i="4"/>
  <c r="AY70" i="4"/>
  <c r="AT71" i="4"/>
  <c r="AU71" i="4"/>
  <c r="AV71" i="4"/>
  <c r="AW71" i="4"/>
  <c r="AX71" i="4"/>
  <c r="AY71" i="4"/>
  <c r="AT72" i="4"/>
  <c r="AU72" i="4"/>
  <c r="AV72" i="4"/>
  <c r="AW72" i="4"/>
  <c r="AX72" i="4"/>
  <c r="AY72" i="4"/>
  <c r="AT73" i="4"/>
  <c r="AU73" i="4"/>
  <c r="AV73" i="4"/>
  <c r="AW73" i="4"/>
  <c r="AX73" i="4"/>
  <c r="AY73" i="4"/>
  <c r="J8" i="4" l="1"/>
  <c r="K2" i="4"/>
  <c r="N65" i="4"/>
  <c r="N67" i="4" s="1"/>
  <c r="N62" i="4"/>
  <c r="N59" i="4"/>
  <c r="N58" i="4"/>
  <c r="N51" i="4"/>
  <c r="N46" i="4"/>
  <c r="N37" i="4"/>
  <c r="N33" i="4"/>
  <c r="N34" i="4" s="1"/>
  <c r="M65" i="4"/>
  <c r="M67" i="4" s="1"/>
  <c r="M59" i="4"/>
  <c r="M58" i="4"/>
  <c r="M51" i="4"/>
  <c r="M46" i="4"/>
  <c r="M37" i="4"/>
  <c r="M33" i="4"/>
  <c r="M34" i="4" s="1"/>
  <c r="L65" i="4"/>
  <c r="L67" i="4" s="1"/>
  <c r="L59" i="4"/>
  <c r="L58" i="4"/>
  <c r="L51" i="4"/>
  <c r="L46" i="4"/>
  <c r="L37" i="4"/>
  <c r="L33" i="4"/>
  <c r="L62" i="4" s="1"/>
  <c r="K65" i="4"/>
  <c r="K67" i="4" s="1"/>
  <c r="K59" i="4"/>
  <c r="K58" i="4"/>
  <c r="K51" i="4"/>
  <c r="K46" i="4"/>
  <c r="K37" i="4"/>
  <c r="K33" i="4"/>
  <c r="K34" i="4" s="1"/>
  <c r="K62" i="4" l="1"/>
  <c r="M62" i="4"/>
  <c r="L34" i="4"/>
  <c r="E47" i="8" l="1"/>
  <c r="E14" i="8"/>
  <c r="F8" i="7" l="1"/>
  <c r="A48" i="11" l="1"/>
  <c r="D40" i="8"/>
  <c r="E34" i="8" l="1"/>
  <c r="O4" i="9"/>
  <c r="E40" i="8"/>
  <c r="G8" i="7" l="1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AK8" i="7"/>
  <c r="AL8" i="7"/>
  <c r="AM8" i="7"/>
  <c r="AN8" i="7"/>
  <c r="AO8" i="7"/>
  <c r="AP8" i="7"/>
  <c r="AQ8" i="7"/>
  <c r="AR8" i="7"/>
  <c r="AS8" i="7"/>
  <c r="AT8" i="7"/>
  <c r="AU8" i="7"/>
  <c r="AV8" i="7"/>
  <c r="AW8" i="7"/>
  <c r="AX8" i="7"/>
  <c r="AY8" i="7"/>
  <c r="AZ8" i="7"/>
  <c r="BA8" i="7"/>
  <c r="BB8" i="7"/>
  <c r="E8" i="7"/>
  <c r="H64" i="4"/>
  <c r="E16" i="8" l="1"/>
  <c r="E35" i="8" l="1"/>
  <c r="E28" i="8"/>
  <c r="D5" i="9" l="1"/>
  <c r="F93" i="8"/>
  <c r="F92" i="8"/>
  <c r="G92" i="8" s="1"/>
  <c r="H92" i="8" s="1"/>
  <c r="I92" i="8" s="1"/>
  <c r="J92" i="8" s="1"/>
  <c r="K92" i="8" s="1"/>
  <c r="L92" i="8" s="1"/>
  <c r="M92" i="8" s="1"/>
  <c r="N92" i="8" s="1"/>
  <c r="O92" i="8" s="1"/>
  <c r="P92" i="8" s="1"/>
  <c r="Q92" i="8" s="1"/>
  <c r="R92" i="8" s="1"/>
  <c r="S92" i="8" s="1"/>
  <c r="T92" i="8" s="1"/>
  <c r="U92" i="8" s="1"/>
  <c r="V92" i="8" s="1"/>
  <c r="W92" i="8" s="1"/>
  <c r="X92" i="8" s="1"/>
  <c r="Y92" i="8" s="1"/>
  <c r="Z92" i="8" s="1"/>
  <c r="AA92" i="8" s="1"/>
  <c r="AB92" i="8" s="1"/>
  <c r="AC92" i="8" s="1"/>
  <c r="AD92" i="8" s="1"/>
  <c r="AE92" i="8" s="1"/>
  <c r="AF92" i="8" s="1"/>
  <c r="AG92" i="8" s="1"/>
  <c r="AH92" i="8" s="1"/>
  <c r="AI92" i="8" s="1"/>
  <c r="AJ92" i="8" s="1"/>
  <c r="AK92" i="8" s="1"/>
  <c r="AL92" i="8" s="1"/>
  <c r="AM92" i="8" s="1"/>
  <c r="AN92" i="8" s="1"/>
  <c r="AO92" i="8" s="1"/>
  <c r="AP92" i="8" s="1"/>
  <c r="AQ92" i="8" s="1"/>
  <c r="AR92" i="8" s="1"/>
  <c r="AS92" i="8" s="1"/>
  <c r="AT92" i="8" s="1"/>
  <c r="AU92" i="8" s="1"/>
  <c r="AV92" i="8" s="1"/>
  <c r="AW92" i="8" s="1"/>
  <c r="AX92" i="8" s="1"/>
  <c r="AY92" i="8" s="1"/>
  <c r="AZ92" i="8" s="1"/>
  <c r="BA92" i="8" s="1"/>
  <c r="BB92" i="8" s="1"/>
  <c r="BB91" i="8"/>
  <c r="BA91" i="8"/>
  <c r="AZ91" i="8"/>
  <c r="AY91" i="8"/>
  <c r="AX91" i="8"/>
  <c r="AW91" i="8"/>
  <c r="AV91" i="8"/>
  <c r="AU91" i="8"/>
  <c r="AT91" i="8"/>
  <c r="AS91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R91" i="8"/>
  <c r="Q91" i="8"/>
  <c r="P91" i="8"/>
  <c r="O91" i="8"/>
  <c r="N91" i="8"/>
  <c r="M91" i="8"/>
  <c r="L91" i="8"/>
  <c r="K91" i="8"/>
  <c r="J91" i="8"/>
  <c r="I91" i="8"/>
  <c r="H91" i="8"/>
  <c r="G91" i="8"/>
  <c r="F91" i="8"/>
  <c r="E91" i="8"/>
  <c r="D91" i="8"/>
  <c r="D22" i="8"/>
  <c r="D21" i="8"/>
  <c r="F16" i="8"/>
  <c r="E15" i="8"/>
  <c r="E10" i="8"/>
  <c r="E6" i="7"/>
  <c r="E48" i="11" s="1"/>
  <c r="D103" i="4"/>
  <c r="C103" i="4"/>
  <c r="D102" i="4"/>
  <c r="C99" i="4"/>
  <c r="C98" i="4"/>
  <c r="D97" i="4"/>
  <c r="D101" i="4" s="1"/>
  <c r="CK92" i="4"/>
  <c r="CJ92" i="4"/>
  <c r="CI92" i="4"/>
  <c r="CH92" i="4"/>
  <c r="C92" i="4"/>
  <c r="CK91" i="4"/>
  <c r="CK97" i="4" s="1"/>
  <c r="CJ91" i="4"/>
  <c r="CJ97" i="4" s="1"/>
  <c r="CI91" i="4"/>
  <c r="CI97" i="4" s="1"/>
  <c r="CH91" i="4"/>
  <c r="CH97" i="4" s="1"/>
  <c r="D91" i="4"/>
  <c r="I5" i="9" l="1"/>
  <c r="D11" i="9" s="1"/>
  <c r="F10" i="8"/>
  <c r="G10" i="8" s="1"/>
  <c r="H10" i="8" s="1"/>
  <c r="I10" i="8" s="1"/>
  <c r="J10" i="8" s="1"/>
  <c r="K10" i="8" s="1"/>
  <c r="L10" i="8" s="1"/>
  <c r="M10" i="8" s="1"/>
  <c r="N10" i="8" s="1"/>
  <c r="O10" i="8" s="1"/>
  <c r="P10" i="8" s="1"/>
  <c r="Q10" i="8" s="1"/>
  <c r="R10" i="8" s="1"/>
  <c r="S10" i="8" s="1"/>
  <c r="T10" i="8" s="1"/>
  <c r="U10" i="8" s="1"/>
  <c r="V10" i="8" s="1"/>
  <c r="W10" i="8" s="1"/>
  <c r="X10" i="8" s="1"/>
  <c r="Y10" i="8" s="1"/>
  <c r="Z10" i="8" s="1"/>
  <c r="AA10" i="8" s="1"/>
  <c r="AB10" i="8" s="1"/>
  <c r="AC10" i="8" s="1"/>
  <c r="AD10" i="8" s="1"/>
  <c r="AE10" i="8" s="1"/>
  <c r="AF10" i="8" s="1"/>
  <c r="AG10" i="8" s="1"/>
  <c r="AH10" i="8" s="1"/>
  <c r="AI10" i="8" s="1"/>
  <c r="AJ10" i="8" s="1"/>
  <c r="AK10" i="8" s="1"/>
  <c r="AL10" i="8" s="1"/>
  <c r="AM10" i="8" s="1"/>
  <c r="AN10" i="8" s="1"/>
  <c r="AO10" i="8" s="1"/>
  <c r="AP10" i="8" s="1"/>
  <c r="AQ10" i="8" s="1"/>
  <c r="AR10" i="8" s="1"/>
  <c r="AS10" i="8" s="1"/>
  <c r="AT10" i="8" s="1"/>
  <c r="AU10" i="8" s="1"/>
  <c r="AV10" i="8" s="1"/>
  <c r="AW10" i="8" s="1"/>
  <c r="AX10" i="8" s="1"/>
  <c r="AY10" i="8" s="1"/>
  <c r="AZ10" i="8" s="1"/>
  <c r="BA10" i="8" s="1"/>
  <c r="BB10" i="8" s="1"/>
  <c r="E42" i="11"/>
  <c r="G16" i="8"/>
  <c r="H16" i="8" s="1"/>
  <c r="I16" i="8" s="1"/>
  <c r="J16" i="8" s="1"/>
  <c r="K16" i="8" s="1"/>
  <c r="L16" i="8" s="1"/>
  <c r="M16" i="8" s="1"/>
  <c r="N16" i="8" s="1"/>
  <c r="O16" i="8" s="1"/>
  <c r="P16" i="8" s="1"/>
  <c r="Q16" i="8" s="1"/>
  <c r="R16" i="8" s="1"/>
  <c r="S16" i="8" s="1"/>
  <c r="T16" i="8" s="1"/>
  <c r="U16" i="8" s="1"/>
  <c r="V16" i="8" s="1"/>
  <c r="W16" i="8" s="1"/>
  <c r="X16" i="8" s="1"/>
  <c r="Y16" i="8" s="1"/>
  <c r="Z16" i="8" s="1"/>
  <c r="AA16" i="8" s="1"/>
  <c r="AB16" i="8" s="1"/>
  <c r="AC16" i="8" s="1"/>
  <c r="AD16" i="8" s="1"/>
  <c r="AE16" i="8" s="1"/>
  <c r="AF16" i="8" s="1"/>
  <c r="AG16" i="8" s="1"/>
  <c r="AH16" i="8" s="1"/>
  <c r="AI16" i="8" s="1"/>
  <c r="AJ16" i="8" s="1"/>
  <c r="AK16" i="8" s="1"/>
  <c r="AL16" i="8" s="1"/>
  <c r="AM16" i="8" s="1"/>
  <c r="AN16" i="8" s="1"/>
  <c r="AO16" i="8" s="1"/>
  <c r="AP16" i="8" s="1"/>
  <c r="AQ16" i="8" s="1"/>
  <c r="AR16" i="8" s="1"/>
  <c r="AS16" i="8" s="1"/>
  <c r="AT16" i="8" s="1"/>
  <c r="AU16" i="8" s="1"/>
  <c r="AV16" i="8" s="1"/>
  <c r="AW16" i="8" s="1"/>
  <c r="AX16" i="8" s="1"/>
  <c r="AY16" i="8" s="1"/>
  <c r="AZ16" i="8" s="1"/>
  <c r="BA16" i="8" s="1"/>
  <c r="BB16" i="8" s="1"/>
  <c r="F15" i="8"/>
  <c r="G15" i="8" s="1"/>
  <c r="H15" i="8" s="1"/>
  <c r="I15" i="8" s="1"/>
  <c r="J15" i="8" s="1"/>
  <c r="K15" i="8" s="1"/>
  <c r="L15" i="8" s="1"/>
  <c r="M15" i="8" s="1"/>
  <c r="N15" i="8" s="1"/>
  <c r="O15" i="8" s="1"/>
  <c r="P15" i="8" s="1"/>
  <c r="Q15" i="8" s="1"/>
  <c r="R15" i="8" s="1"/>
  <c r="S15" i="8" s="1"/>
  <c r="T15" i="8" s="1"/>
  <c r="U15" i="8" s="1"/>
  <c r="V15" i="8" s="1"/>
  <c r="W15" i="8" s="1"/>
  <c r="X15" i="8" s="1"/>
  <c r="Y15" i="8" s="1"/>
  <c r="Z15" i="8" s="1"/>
  <c r="AA15" i="8" s="1"/>
  <c r="AB15" i="8" s="1"/>
  <c r="AC15" i="8" s="1"/>
  <c r="AD15" i="8" s="1"/>
  <c r="AE15" i="8" s="1"/>
  <c r="AF15" i="8" s="1"/>
  <c r="AG15" i="8" s="1"/>
  <c r="AH15" i="8" s="1"/>
  <c r="AI15" i="8" s="1"/>
  <c r="AJ15" i="8" s="1"/>
  <c r="AK15" i="8" s="1"/>
  <c r="AL15" i="8" s="1"/>
  <c r="AM15" i="8" s="1"/>
  <c r="AN15" i="8" s="1"/>
  <c r="AO15" i="8" s="1"/>
  <c r="AP15" i="8" s="1"/>
  <c r="AQ15" i="8" s="1"/>
  <c r="AR15" i="8" s="1"/>
  <c r="AS15" i="8" s="1"/>
  <c r="AT15" i="8" s="1"/>
  <c r="AU15" i="8" s="1"/>
  <c r="AV15" i="8" s="1"/>
  <c r="AW15" i="8" s="1"/>
  <c r="AX15" i="8" s="1"/>
  <c r="AY15" i="8" s="1"/>
  <c r="AZ15" i="8" s="1"/>
  <c r="BA15" i="8" s="1"/>
  <c r="BB15" i="8" s="1"/>
  <c r="E103" i="4"/>
  <c r="F14" i="8"/>
  <c r="D44" i="8"/>
  <c r="D41" i="8"/>
  <c r="D42" i="8" s="1"/>
  <c r="D23" i="8"/>
  <c r="O3" i="9" s="1"/>
  <c r="Q3" i="9" s="1"/>
  <c r="F6" i="7"/>
  <c r="D4" i="9"/>
  <c r="G10" i="9" s="1"/>
  <c r="C11" i="9" s="1"/>
  <c r="G93" i="8"/>
  <c r="F40" i="8"/>
  <c r="E11" i="9" l="1"/>
  <c r="D24" i="8"/>
  <c r="D51" i="8" s="1"/>
  <c r="D78" i="11" s="1"/>
  <c r="G6" i="7"/>
  <c r="G48" i="11" s="1"/>
  <c r="F48" i="11"/>
  <c r="G14" i="8"/>
  <c r="F42" i="11"/>
  <c r="F34" i="8"/>
  <c r="F35" i="8" s="1"/>
  <c r="F103" i="4"/>
  <c r="E44" i="8"/>
  <c r="E9" i="8"/>
  <c r="E11" i="8" s="1"/>
  <c r="E40" i="11" s="1"/>
  <c r="H93" i="8"/>
  <c r="D30" i="8" l="1"/>
  <c r="D36" i="8" s="1"/>
  <c r="J3" i="4"/>
  <c r="H6" i="7"/>
  <c r="H48" i="11" s="1"/>
  <c r="G103" i="4"/>
  <c r="H14" i="8"/>
  <c r="G42" i="11"/>
  <c r="G34" i="8"/>
  <c r="G35" i="8" s="1"/>
  <c r="F44" i="8"/>
  <c r="F9" i="8"/>
  <c r="F11" i="8" s="1"/>
  <c r="F40" i="11" s="1"/>
  <c r="G40" i="8"/>
  <c r="I93" i="8"/>
  <c r="D45" i="8"/>
  <c r="D49" i="8" s="1"/>
  <c r="D92" i="4" l="1"/>
  <c r="D3" i="11"/>
  <c r="I6" i="7"/>
  <c r="I48" i="11" s="1"/>
  <c r="H103" i="4"/>
  <c r="I14" i="8"/>
  <c r="H42" i="11"/>
  <c r="D98" i="4"/>
  <c r="H34" i="8"/>
  <c r="H35" i="8" s="1"/>
  <c r="J93" i="8"/>
  <c r="G9" i="8"/>
  <c r="G11" i="8" s="1"/>
  <c r="G40" i="11" s="1"/>
  <c r="G44" i="8"/>
  <c r="H40" i="8"/>
  <c r="J6" i="7" l="1"/>
  <c r="K6" i="7" s="1"/>
  <c r="K48" i="11" s="1"/>
  <c r="I102" i="4"/>
  <c r="J14" i="8"/>
  <c r="I42" i="11"/>
  <c r="I34" i="8"/>
  <c r="I35" i="8" s="1"/>
  <c r="K93" i="8"/>
  <c r="H44" i="8"/>
  <c r="I40" i="8"/>
  <c r="H9" i="8"/>
  <c r="H11" i="8" s="1"/>
  <c r="H40" i="11" s="1"/>
  <c r="J102" i="4" l="1"/>
  <c r="J48" i="11"/>
  <c r="L6" i="7"/>
  <c r="L48" i="11" s="1"/>
  <c r="K102" i="4"/>
  <c r="K14" i="8"/>
  <c r="J42" i="11"/>
  <c r="J34" i="8"/>
  <c r="J35" i="8" s="1"/>
  <c r="L93" i="8"/>
  <c r="I44" i="8"/>
  <c r="J40" i="8"/>
  <c r="I9" i="8"/>
  <c r="I11" i="8" s="1"/>
  <c r="I40" i="11" s="1"/>
  <c r="M6" i="7" l="1"/>
  <c r="M48" i="11" s="1"/>
  <c r="L103" i="4"/>
  <c r="L14" i="8"/>
  <c r="K42" i="11"/>
  <c r="K34" i="8"/>
  <c r="K35" i="8" s="1"/>
  <c r="M93" i="8"/>
  <c r="J9" i="8"/>
  <c r="J11" i="8" s="1"/>
  <c r="J40" i="11" s="1"/>
  <c r="J44" i="8"/>
  <c r="K40" i="8"/>
  <c r="M103" i="4" l="1"/>
  <c r="N6" i="7"/>
  <c r="N48" i="11" s="1"/>
  <c r="M14" i="8"/>
  <c r="L42" i="11"/>
  <c r="L34" i="8"/>
  <c r="L35" i="8" s="1"/>
  <c r="K9" i="8"/>
  <c r="K11" i="8" s="1"/>
  <c r="K40" i="11" s="1"/>
  <c r="K44" i="8"/>
  <c r="L40" i="8"/>
  <c r="N93" i="8"/>
  <c r="O6" i="7" l="1"/>
  <c r="O48" i="11" s="1"/>
  <c r="N103" i="4"/>
  <c r="N14" i="8"/>
  <c r="M42" i="11"/>
  <c r="M34" i="8"/>
  <c r="M35" i="8" s="1"/>
  <c r="O93" i="8"/>
  <c r="L9" i="8"/>
  <c r="L11" i="8" s="1"/>
  <c r="L40" i="11" s="1"/>
  <c r="L44" i="8"/>
  <c r="M40" i="8"/>
  <c r="P6" i="7" l="1"/>
  <c r="P48" i="11" s="1"/>
  <c r="O103" i="4"/>
  <c r="O14" i="8"/>
  <c r="N42" i="11"/>
  <c r="N34" i="8"/>
  <c r="N35" i="8" s="1"/>
  <c r="M44" i="8"/>
  <c r="N40" i="8"/>
  <c r="M9" i="8"/>
  <c r="M11" i="8" s="1"/>
  <c r="M40" i="11" s="1"/>
  <c r="P93" i="8"/>
  <c r="Q6" i="7" l="1"/>
  <c r="Q48" i="11" s="1"/>
  <c r="P14" i="8"/>
  <c r="O42" i="11"/>
  <c r="O34" i="8"/>
  <c r="O35" i="8" s="1"/>
  <c r="N44" i="8"/>
  <c r="O40" i="8"/>
  <c r="N9" i="8"/>
  <c r="N11" i="8" s="1"/>
  <c r="N40" i="11" s="1"/>
  <c r="Q93" i="8"/>
  <c r="R6" i="7" l="1"/>
  <c r="R48" i="11" s="1"/>
  <c r="Q14" i="8"/>
  <c r="P42" i="11"/>
  <c r="P34" i="8"/>
  <c r="P35" i="8" s="1"/>
  <c r="R93" i="8"/>
  <c r="O9" i="8"/>
  <c r="O11" i="8" s="1"/>
  <c r="O40" i="11" s="1"/>
  <c r="P40" i="8"/>
  <c r="O44" i="8"/>
  <c r="R103" i="4" l="1"/>
  <c r="S6" i="7"/>
  <c r="S48" i="11" s="1"/>
  <c r="R14" i="8"/>
  <c r="Q42" i="11"/>
  <c r="Q34" i="8"/>
  <c r="Q35" i="8" s="1"/>
  <c r="T6" i="7"/>
  <c r="T48" i="11" s="1"/>
  <c r="S93" i="8"/>
  <c r="P44" i="8"/>
  <c r="Q40" i="8"/>
  <c r="P9" i="8"/>
  <c r="P11" i="8" s="1"/>
  <c r="P40" i="11" s="1"/>
  <c r="S14" i="8" l="1"/>
  <c r="R42" i="11"/>
  <c r="R34" i="8"/>
  <c r="R35" i="8" s="1"/>
  <c r="U6" i="7"/>
  <c r="U48" i="11" s="1"/>
  <c r="S103" i="4"/>
  <c r="Q44" i="8"/>
  <c r="R40" i="8"/>
  <c r="Q9" i="8"/>
  <c r="Q11" i="8" s="1"/>
  <c r="Q40" i="11" s="1"/>
  <c r="T93" i="8"/>
  <c r="T14" i="8" l="1"/>
  <c r="S42" i="11"/>
  <c r="S34" i="8"/>
  <c r="S35" i="8" s="1"/>
  <c r="U93" i="8"/>
  <c r="R9" i="8"/>
  <c r="R11" i="8" s="1"/>
  <c r="R40" i="11" s="1"/>
  <c r="R44" i="8"/>
  <c r="S40" i="8"/>
  <c r="V6" i="7"/>
  <c r="V48" i="11" s="1"/>
  <c r="T103" i="4"/>
  <c r="U14" i="8" l="1"/>
  <c r="T42" i="11"/>
  <c r="T34" i="8"/>
  <c r="T35" i="8" s="1"/>
  <c r="U103" i="4"/>
  <c r="W6" i="7"/>
  <c r="W48" i="11" s="1"/>
  <c r="S9" i="8"/>
  <c r="S11" i="8" s="1"/>
  <c r="S40" i="11" s="1"/>
  <c r="S44" i="8"/>
  <c r="T40" i="8"/>
  <c r="V93" i="8"/>
  <c r="V14" i="8" l="1"/>
  <c r="U42" i="11"/>
  <c r="U34" i="8"/>
  <c r="U35" i="8" s="1"/>
  <c r="W93" i="8"/>
  <c r="T9" i="8"/>
  <c r="T11" i="8" s="1"/>
  <c r="T40" i="11" s="1"/>
  <c r="T44" i="8"/>
  <c r="U40" i="8"/>
  <c r="X6" i="7"/>
  <c r="X48" i="11" s="1"/>
  <c r="V103" i="4"/>
  <c r="W14" i="8" l="1"/>
  <c r="V42" i="11"/>
  <c r="Y6" i="7"/>
  <c r="Z6" i="7" s="1"/>
  <c r="V34" i="8"/>
  <c r="V35" i="8" s="1"/>
  <c r="U44" i="8"/>
  <c r="V40" i="8"/>
  <c r="U9" i="8"/>
  <c r="U11" i="8" s="1"/>
  <c r="U40" i="11" s="1"/>
  <c r="X93" i="8"/>
  <c r="Y93" i="8" s="1"/>
  <c r="W103" i="4"/>
  <c r="Z48" i="11" l="1"/>
  <c r="X103" i="4"/>
  <c r="Y48" i="11"/>
  <c r="X14" i="8"/>
  <c r="W42" i="11"/>
  <c r="W34" i="8"/>
  <c r="W35" i="8" s="1"/>
  <c r="Y103" i="4"/>
  <c r="AA6" i="7"/>
  <c r="Z93" i="8"/>
  <c r="V44" i="8"/>
  <c r="W40" i="8"/>
  <c r="V9" i="8"/>
  <c r="V11" i="8" s="1"/>
  <c r="V40" i="11" s="1"/>
  <c r="AA48" i="11" l="1"/>
  <c r="Y14" i="8"/>
  <c r="X42" i="11"/>
  <c r="X40" i="8"/>
  <c r="X34" i="8"/>
  <c r="X35" i="8" s="1"/>
  <c r="AA93" i="8"/>
  <c r="Z103" i="4"/>
  <c r="AB6" i="7"/>
  <c r="W9" i="8"/>
  <c r="W11" i="8" s="1"/>
  <c r="W40" i="11" s="1"/>
  <c r="W44" i="8"/>
  <c r="AB48" i="11" l="1"/>
  <c r="Z14" i="8"/>
  <c r="Y42" i="11"/>
  <c r="Y34" i="8"/>
  <c r="Y35" i="8" s="1"/>
  <c r="Y40" i="8"/>
  <c r="Z40" i="8" s="1"/>
  <c r="AA103" i="4"/>
  <c r="AC6" i="7"/>
  <c r="AB93" i="8"/>
  <c r="X44" i="8"/>
  <c r="X9" i="8"/>
  <c r="X11" i="8" s="1"/>
  <c r="X40" i="11" s="1"/>
  <c r="AD6" i="7" l="1"/>
  <c r="AC103" i="4" s="1"/>
  <c r="AC48" i="11"/>
  <c r="AA14" i="8"/>
  <c r="Z42" i="11"/>
  <c r="Y13" i="8"/>
  <c r="Y44" i="8"/>
  <c r="Z34" i="8"/>
  <c r="Z35" i="8" s="1"/>
  <c r="AA34" i="8"/>
  <c r="AA35" i="8" s="1"/>
  <c r="Y9" i="8"/>
  <c r="Y11" i="8" s="1"/>
  <c r="Y40" i="11" s="1"/>
  <c r="AC93" i="8"/>
  <c r="AD93" i="8" s="1"/>
  <c r="AB103" i="4"/>
  <c r="Z9" i="8"/>
  <c r="Z11" i="8" s="1"/>
  <c r="Z40" i="11" s="1"/>
  <c r="Z13" i="8"/>
  <c r="AA40" i="8"/>
  <c r="Z44" i="8"/>
  <c r="AE6" i="7" l="1"/>
  <c r="AD103" i="4" s="1"/>
  <c r="AD48" i="11"/>
  <c r="AB14" i="8"/>
  <c r="AA42" i="11"/>
  <c r="Z17" i="8"/>
  <c r="Z41" i="11"/>
  <c r="Y17" i="8"/>
  <c r="Y41" i="11"/>
  <c r="AB34" i="8"/>
  <c r="AB35" i="8" s="1"/>
  <c r="AF6" i="7"/>
  <c r="AE103" i="4" s="1"/>
  <c r="AE93" i="8"/>
  <c r="AA9" i="8"/>
  <c r="AA11" i="8" s="1"/>
  <c r="AA40" i="11" s="1"/>
  <c r="AA13" i="8"/>
  <c r="AB40" i="8"/>
  <c r="AA44" i="8"/>
  <c r="Z18" i="8" l="1"/>
  <c r="AF48" i="11"/>
  <c r="AE48" i="11"/>
  <c r="AC14" i="8"/>
  <c r="AB42" i="11"/>
  <c r="Y18" i="8"/>
  <c r="Z19" i="8"/>
  <c r="AA17" i="8"/>
  <c r="AA41" i="11"/>
  <c r="AC34" i="8"/>
  <c r="AC35" i="8" s="1"/>
  <c r="AF93" i="8"/>
  <c r="AG6" i="7"/>
  <c r="AF103" i="4" s="1"/>
  <c r="AB9" i="8"/>
  <c r="AB11" i="8" s="1"/>
  <c r="AB40" i="11" s="1"/>
  <c r="AC40" i="8"/>
  <c r="AB13" i="8"/>
  <c r="AB44" i="8"/>
  <c r="AA19" i="8" l="1"/>
  <c r="AG48" i="11"/>
  <c r="AA18" i="8"/>
  <c r="AD14" i="8"/>
  <c r="AC42" i="11"/>
  <c r="AB17" i="8"/>
  <c r="AB41" i="11"/>
  <c r="AD34" i="8"/>
  <c r="AD35" i="8" s="1"/>
  <c r="AD40" i="8"/>
  <c r="AD44" i="8" s="1"/>
  <c r="AG93" i="8"/>
  <c r="AH6" i="7"/>
  <c r="AG103" i="4" s="1"/>
  <c r="AC9" i="8"/>
  <c r="AC11" i="8" s="1"/>
  <c r="AC40" i="11" s="1"/>
  <c r="AC44" i="8"/>
  <c r="AC13" i="8"/>
  <c r="AB19" i="8" l="1"/>
  <c r="AH48" i="11"/>
  <c r="AB18" i="8"/>
  <c r="AE14" i="8"/>
  <c r="AD42" i="11"/>
  <c r="AC17" i="8"/>
  <c r="AC41" i="11"/>
  <c r="AD13" i="8"/>
  <c r="AE40" i="8"/>
  <c r="AF34" i="8" s="1"/>
  <c r="AF35" i="8" s="1"/>
  <c r="AE34" i="8"/>
  <c r="AE35" i="8" s="1"/>
  <c r="AD9" i="8"/>
  <c r="AD11" i="8" s="1"/>
  <c r="AD40" i="11" s="1"/>
  <c r="AI6" i="7"/>
  <c r="AH103" i="4" s="1"/>
  <c r="AH93" i="8"/>
  <c r="AI48" i="11" l="1"/>
  <c r="AC19" i="8"/>
  <c r="AF14" i="8"/>
  <c r="AE42" i="11"/>
  <c r="AC18" i="8"/>
  <c r="AD17" i="8"/>
  <c r="AD41" i="11"/>
  <c r="AF40" i="8"/>
  <c r="AF9" i="8" s="1"/>
  <c r="AF11" i="8" s="1"/>
  <c r="AF40" i="11" s="1"/>
  <c r="AE44" i="8"/>
  <c r="AE13" i="8"/>
  <c r="AE9" i="8"/>
  <c r="AE11" i="8" s="1"/>
  <c r="AE40" i="11" s="1"/>
  <c r="AI93" i="8"/>
  <c r="AJ6" i="7"/>
  <c r="AI103" i="4" s="1"/>
  <c r="AJ48" i="11" l="1"/>
  <c r="AD19" i="8"/>
  <c r="AD18" i="8"/>
  <c r="AG14" i="8"/>
  <c r="AF42" i="11"/>
  <c r="AE17" i="8"/>
  <c r="AE41" i="11"/>
  <c r="AG40" i="8"/>
  <c r="AG13" i="8" s="1"/>
  <c r="AF13" i="8"/>
  <c r="AG34" i="8"/>
  <c r="AG35" i="8" s="1"/>
  <c r="AF44" i="8"/>
  <c r="AJ93" i="8"/>
  <c r="AK6" i="7"/>
  <c r="AJ103" i="4" s="1"/>
  <c r="AK48" i="11" l="1"/>
  <c r="AE19" i="8"/>
  <c r="AE18" i="8"/>
  <c r="AH14" i="8"/>
  <c r="AG42" i="11"/>
  <c r="AG17" i="8"/>
  <c r="AG41" i="11"/>
  <c r="AF17" i="8"/>
  <c r="AF41" i="11"/>
  <c r="AH34" i="8"/>
  <c r="AH35" i="8" s="1"/>
  <c r="AG9" i="8"/>
  <c r="AG11" i="8" s="1"/>
  <c r="AG40" i="11" s="1"/>
  <c r="AH40" i="8"/>
  <c r="AH9" i="8" s="1"/>
  <c r="AH11" i="8" s="1"/>
  <c r="AH40" i="11" s="1"/>
  <c r="AG44" i="8"/>
  <c r="AL6" i="7"/>
  <c r="AK103" i="4" s="1"/>
  <c r="AK93" i="8"/>
  <c r="AL48" i="11" l="1"/>
  <c r="AF19" i="8"/>
  <c r="AG18" i="8"/>
  <c r="AG19" i="8"/>
  <c r="AF18" i="8"/>
  <c r="AI14" i="8"/>
  <c r="AH42" i="11"/>
  <c r="AI34" i="8"/>
  <c r="AI35" i="8" s="1"/>
  <c r="AI40" i="8"/>
  <c r="AJ34" i="8" s="1"/>
  <c r="AJ35" i="8" s="1"/>
  <c r="AH44" i="8"/>
  <c r="AH13" i="8"/>
  <c r="AL93" i="8"/>
  <c r="AI44" i="8"/>
  <c r="AM6" i="7"/>
  <c r="AL103" i="4" s="1"/>
  <c r="AM48" i="11" l="1"/>
  <c r="AJ14" i="8"/>
  <c r="AI42" i="11"/>
  <c r="AH17" i="8"/>
  <c r="AH41" i="11"/>
  <c r="AJ40" i="8"/>
  <c r="AK40" i="8" s="1"/>
  <c r="AI13" i="8"/>
  <c r="AI9" i="8"/>
  <c r="AI11" i="8" s="1"/>
  <c r="AI40" i="11" s="1"/>
  <c r="AN6" i="7"/>
  <c r="AM103" i="4" s="1"/>
  <c r="AM93" i="8"/>
  <c r="AH18" i="8" l="1"/>
  <c r="AN48" i="11"/>
  <c r="AJ44" i="8"/>
  <c r="AH19" i="8"/>
  <c r="AK14" i="8"/>
  <c r="AJ42" i="11"/>
  <c r="AI17" i="8"/>
  <c r="AI41" i="11"/>
  <c r="AJ13" i="8"/>
  <c r="AK34" i="8"/>
  <c r="AK35" i="8" s="1"/>
  <c r="AJ9" i="8"/>
  <c r="AJ11" i="8" s="1"/>
  <c r="AJ40" i="11" s="1"/>
  <c r="AL34" i="8"/>
  <c r="AL35" i="8" s="1"/>
  <c r="AN93" i="8"/>
  <c r="AO6" i="7"/>
  <c r="AS103" i="4" s="1"/>
  <c r="AK9" i="8"/>
  <c r="AK11" i="8" s="1"/>
  <c r="AK40" i="11" s="1"/>
  <c r="AK44" i="8"/>
  <c r="AL40" i="8"/>
  <c r="AK13" i="8"/>
  <c r="AO48" i="11" l="1"/>
  <c r="AI18" i="8"/>
  <c r="AL14" i="8"/>
  <c r="AK42" i="11"/>
  <c r="AI19" i="8"/>
  <c r="AK17" i="8"/>
  <c r="AK41" i="11"/>
  <c r="AJ17" i="8"/>
  <c r="AJ41" i="11"/>
  <c r="AM34" i="8"/>
  <c r="AM35" i="8" s="1"/>
  <c r="AO93" i="8"/>
  <c r="AP6" i="7"/>
  <c r="AT103" i="4" s="1"/>
  <c r="AL9" i="8"/>
  <c r="AL11" i="8" s="1"/>
  <c r="AL40" i="11" s="1"/>
  <c r="AL44" i="8"/>
  <c r="AM40" i="8"/>
  <c r="AL13" i="8"/>
  <c r="AJ18" i="8" l="1"/>
  <c r="AP48" i="11"/>
  <c r="AM14" i="8"/>
  <c r="AL42" i="11"/>
  <c r="AK18" i="8"/>
  <c r="AK19" i="8"/>
  <c r="AJ19" i="8"/>
  <c r="AL17" i="8"/>
  <c r="AL41" i="11"/>
  <c r="AN34" i="8"/>
  <c r="AN35" i="8" s="1"/>
  <c r="AQ6" i="7"/>
  <c r="AU103" i="4" s="1"/>
  <c r="AM44" i="8"/>
  <c r="AN40" i="8"/>
  <c r="AM13" i="8"/>
  <c r="AM9" i="8"/>
  <c r="AM11" i="8" s="1"/>
  <c r="AM40" i="11" s="1"/>
  <c r="AP93" i="8"/>
  <c r="AL18" i="8" l="1"/>
  <c r="AQ48" i="11"/>
  <c r="AN14" i="8"/>
  <c r="AM42" i="11"/>
  <c r="AL19" i="8"/>
  <c r="AM17" i="8"/>
  <c r="AM41" i="11"/>
  <c r="AO34" i="8"/>
  <c r="AO35" i="8" s="1"/>
  <c r="AQ93" i="8"/>
  <c r="AN9" i="8"/>
  <c r="AN11" i="8" s="1"/>
  <c r="AN40" i="11" s="1"/>
  <c r="AN13" i="8"/>
  <c r="AO40" i="8"/>
  <c r="AN44" i="8"/>
  <c r="AR6" i="7"/>
  <c r="AV103" i="4" s="1"/>
  <c r="AM18" i="8" l="1"/>
  <c r="AR48" i="11"/>
  <c r="AM19" i="8"/>
  <c r="AO14" i="8"/>
  <c r="AN42" i="11"/>
  <c r="AN17" i="8"/>
  <c r="AN41" i="11"/>
  <c r="AP34" i="8"/>
  <c r="AP35" i="8" s="1"/>
  <c r="AO9" i="8"/>
  <c r="AO11" i="8" s="1"/>
  <c r="AO40" i="11" s="1"/>
  <c r="AO13" i="8"/>
  <c r="AP40" i="8"/>
  <c r="AO44" i="8"/>
  <c r="AS6" i="7"/>
  <c r="AW103" i="4" s="1"/>
  <c r="AR93" i="8"/>
  <c r="AN18" i="8" l="1"/>
  <c r="AS48" i="11"/>
  <c r="AN19" i="8"/>
  <c r="AP14" i="8"/>
  <c r="AO42" i="11"/>
  <c r="AO17" i="8"/>
  <c r="AO41" i="11"/>
  <c r="AQ34" i="8"/>
  <c r="AQ35" i="8" s="1"/>
  <c r="AS93" i="8"/>
  <c r="AP9" i="8"/>
  <c r="AP11" i="8" s="1"/>
  <c r="AP40" i="11" s="1"/>
  <c r="AP13" i="8"/>
  <c r="AP44" i="8"/>
  <c r="AQ40" i="8"/>
  <c r="AT6" i="7"/>
  <c r="AX103" i="4" s="1"/>
  <c r="AO18" i="8" l="1"/>
  <c r="AT48" i="11"/>
  <c r="AO19" i="8"/>
  <c r="AQ14" i="8"/>
  <c r="AP42" i="11"/>
  <c r="AP17" i="8"/>
  <c r="AP41" i="11"/>
  <c r="AR34" i="8"/>
  <c r="AR35" i="8" s="1"/>
  <c r="AT93" i="8"/>
  <c r="AQ9" i="8"/>
  <c r="AQ11" i="8" s="1"/>
  <c r="AQ40" i="11" s="1"/>
  <c r="AQ13" i="8"/>
  <c r="AQ44" i="8"/>
  <c r="AR40" i="8"/>
  <c r="AU6" i="7"/>
  <c r="AY103" i="4" s="1"/>
  <c r="AU48" i="11" l="1"/>
  <c r="AP18" i="8"/>
  <c r="AP19" i="8"/>
  <c r="AR14" i="8"/>
  <c r="AQ42" i="11"/>
  <c r="AQ17" i="8"/>
  <c r="AQ41" i="11"/>
  <c r="AS34" i="8"/>
  <c r="AS35" i="8" s="1"/>
  <c r="AR9" i="8"/>
  <c r="AR11" i="8" s="1"/>
  <c r="AR40" i="11" s="1"/>
  <c r="AR44" i="8"/>
  <c r="AS40" i="8"/>
  <c r="AR13" i="8"/>
  <c r="AU93" i="8"/>
  <c r="AV6" i="7"/>
  <c r="AV48" i="11" l="1"/>
  <c r="AQ18" i="8"/>
  <c r="AQ19" i="8"/>
  <c r="AS14" i="8"/>
  <c r="AR42" i="11"/>
  <c r="AR17" i="8"/>
  <c r="AR41" i="11"/>
  <c r="AT34" i="8"/>
  <c r="AT35" i="8" s="1"/>
  <c r="AS9" i="8"/>
  <c r="AS11" i="8" s="1"/>
  <c r="AS40" i="11" s="1"/>
  <c r="AS44" i="8"/>
  <c r="AT40" i="8"/>
  <c r="AS13" i="8"/>
  <c r="AW6" i="7"/>
  <c r="AV93" i="8"/>
  <c r="AR19" i="8" l="1"/>
  <c r="AW48" i="11"/>
  <c r="AR18" i="8"/>
  <c r="AT14" i="8"/>
  <c r="AS42" i="11"/>
  <c r="AS17" i="8"/>
  <c r="AS41" i="11"/>
  <c r="AU34" i="8"/>
  <c r="AU35" i="8" s="1"/>
  <c r="AW93" i="8"/>
  <c r="AX6" i="7"/>
  <c r="AT9" i="8"/>
  <c r="AT11" i="8" s="1"/>
  <c r="AT40" i="11" s="1"/>
  <c r="AT44" i="8"/>
  <c r="AU40" i="8"/>
  <c r="AT13" i="8"/>
  <c r="AX48" i="11" l="1"/>
  <c r="AS18" i="8"/>
  <c r="AS19" i="8"/>
  <c r="AU14" i="8"/>
  <c r="AT42" i="11"/>
  <c r="AT17" i="8"/>
  <c r="AT41" i="11"/>
  <c r="AV34" i="8"/>
  <c r="AV35" i="8" s="1"/>
  <c r="AU9" i="8"/>
  <c r="AU11" i="8" s="1"/>
  <c r="AU40" i="11" s="1"/>
  <c r="AU44" i="8"/>
  <c r="AV40" i="8"/>
  <c r="AU13" i="8"/>
  <c r="AX93" i="8"/>
  <c r="AY6" i="7"/>
  <c r="AY48" i="11" l="1"/>
  <c r="AV14" i="8"/>
  <c r="AU42" i="11"/>
  <c r="AT19" i="8"/>
  <c r="AT18" i="8"/>
  <c r="AU17" i="8"/>
  <c r="AU41" i="11"/>
  <c r="AW34" i="8"/>
  <c r="AW35" i="8" s="1"/>
  <c r="AV9" i="8"/>
  <c r="AV11" i="8" s="1"/>
  <c r="AV40" i="11" s="1"/>
  <c r="AW40" i="8"/>
  <c r="AV13" i="8"/>
  <c r="AV44" i="8"/>
  <c r="AY93" i="8"/>
  <c r="AZ6" i="7"/>
  <c r="AU18" i="8" l="1"/>
  <c r="AZ48" i="11"/>
  <c r="AU19" i="8"/>
  <c r="AW14" i="8"/>
  <c r="AV42" i="11"/>
  <c r="AV17" i="8"/>
  <c r="AV41" i="11"/>
  <c r="AX34" i="8"/>
  <c r="AX35" i="8" s="1"/>
  <c r="AZ93" i="8"/>
  <c r="AW9" i="8"/>
  <c r="AW11" i="8" s="1"/>
  <c r="AW40" i="11" s="1"/>
  <c r="AW13" i="8"/>
  <c r="AX40" i="8"/>
  <c r="AW44" i="8"/>
  <c r="BA6" i="7"/>
  <c r="AV19" i="8" l="1"/>
  <c r="BA48" i="11"/>
  <c r="AV18" i="8"/>
  <c r="AX14" i="8"/>
  <c r="AW42" i="11"/>
  <c r="AW17" i="8"/>
  <c r="AW41" i="11"/>
  <c r="AY34" i="8"/>
  <c r="AY35" i="8" s="1"/>
  <c r="AZ103" i="4"/>
  <c r="BB6" i="7"/>
  <c r="BA93" i="8"/>
  <c r="AX9" i="8"/>
  <c r="AX11" i="8" s="1"/>
  <c r="AX40" i="11" s="1"/>
  <c r="AX13" i="8"/>
  <c r="AY40" i="8"/>
  <c r="AX44" i="8"/>
  <c r="AW18" i="8" l="1"/>
  <c r="BB48" i="11"/>
  <c r="AW19" i="8"/>
  <c r="AY14" i="8"/>
  <c r="AX42" i="11"/>
  <c r="AX17" i="8"/>
  <c r="AX41" i="11"/>
  <c r="AZ34" i="8"/>
  <c r="AZ35" i="8" s="1"/>
  <c r="BA103" i="4"/>
  <c r="AY9" i="8"/>
  <c r="AY11" i="8" s="1"/>
  <c r="AY40" i="11" s="1"/>
  <c r="AY13" i="8"/>
  <c r="AY44" i="8"/>
  <c r="AZ40" i="8"/>
  <c r="BB93" i="8"/>
  <c r="AX18" i="8" l="1"/>
  <c r="AZ14" i="8"/>
  <c r="AY42" i="11"/>
  <c r="AX19" i="8"/>
  <c r="AY17" i="8"/>
  <c r="AY41" i="11"/>
  <c r="BA34" i="8"/>
  <c r="BA35" i="8" s="1"/>
  <c r="AZ9" i="8"/>
  <c r="AZ11" i="8" s="1"/>
  <c r="AZ40" i="11" s="1"/>
  <c r="AZ44" i="8"/>
  <c r="BA40" i="8"/>
  <c r="AZ13" i="8"/>
  <c r="AY18" i="8" l="1"/>
  <c r="AY19" i="8"/>
  <c r="BA14" i="8"/>
  <c r="AZ42" i="11"/>
  <c r="AZ17" i="8"/>
  <c r="AZ41" i="11"/>
  <c r="BB34" i="8"/>
  <c r="BB35" i="8" s="1"/>
  <c r="BA9" i="8"/>
  <c r="BA11" i="8" s="1"/>
  <c r="BA40" i="11" s="1"/>
  <c r="BA44" i="8"/>
  <c r="BB40" i="8"/>
  <c r="BA13" i="8"/>
  <c r="AZ18" i="8" l="1"/>
  <c r="AZ19" i="8"/>
  <c r="BB14" i="8"/>
  <c r="BB42" i="11" s="1"/>
  <c r="BA42" i="11"/>
  <c r="BA17" i="8"/>
  <c r="BA41" i="11"/>
  <c r="BB9" i="8"/>
  <c r="BB11" i="8" s="1"/>
  <c r="BB40" i="11" s="1"/>
  <c r="BB44" i="8"/>
  <c r="BB13" i="8"/>
  <c r="BA18" i="8" l="1"/>
  <c r="BA19" i="8"/>
  <c r="BB17" i="8"/>
  <c r="BB41" i="11"/>
  <c r="BB19" i="8" l="1"/>
  <c r="BB18" i="8"/>
  <c r="W13" i="8"/>
  <c r="G13" i="8"/>
  <c r="X13" i="8"/>
  <c r="T13" i="8"/>
  <c r="M13" i="8"/>
  <c r="U13" i="8"/>
  <c r="K13" i="8"/>
  <c r="S13" i="8"/>
  <c r="P13" i="8"/>
  <c r="V13" i="8"/>
  <c r="O13" i="8"/>
  <c r="H13" i="8"/>
  <c r="J13" i="8"/>
  <c r="I13" i="8"/>
  <c r="F13" i="8"/>
  <c r="L13" i="8"/>
  <c r="R13" i="8"/>
  <c r="Q13" i="8"/>
  <c r="D6" i="9"/>
  <c r="E13" i="8"/>
  <c r="D26" i="4" s="1"/>
  <c r="N13" i="8"/>
  <c r="E17" i="8" l="1"/>
  <c r="E41" i="11"/>
  <c r="L17" i="8"/>
  <c r="L41" i="11"/>
  <c r="S17" i="8"/>
  <c r="S41" i="11"/>
  <c r="F17" i="8"/>
  <c r="F41" i="11"/>
  <c r="U17" i="8"/>
  <c r="U41" i="11"/>
  <c r="N17" i="8"/>
  <c r="N41" i="11"/>
  <c r="M17" i="8"/>
  <c r="M41" i="11"/>
  <c r="K17" i="8"/>
  <c r="K41" i="11"/>
  <c r="J17" i="8"/>
  <c r="J41" i="11"/>
  <c r="T17" i="8"/>
  <c r="T41" i="11"/>
  <c r="O17" i="8"/>
  <c r="O41" i="11"/>
  <c r="X17" i="8"/>
  <c r="X41" i="11"/>
  <c r="I17" i="8"/>
  <c r="I41" i="11"/>
  <c r="H17" i="8"/>
  <c r="H41" i="11"/>
  <c r="Q17" i="8"/>
  <c r="Q41" i="11"/>
  <c r="V17" i="8"/>
  <c r="V41" i="11"/>
  <c r="G17" i="8"/>
  <c r="G41" i="11"/>
  <c r="R17" i="8"/>
  <c r="R41" i="11"/>
  <c r="P17" i="8"/>
  <c r="P41" i="11"/>
  <c r="W17" i="8"/>
  <c r="W41" i="11"/>
  <c r="M611" i="9"/>
  <c r="M11" i="9"/>
  <c r="C611" i="9"/>
  <c r="G612" i="9"/>
  <c r="D12" i="9"/>
  <c r="D13" i="9" s="1"/>
  <c r="D14" i="9" s="1"/>
  <c r="L611" i="9"/>
  <c r="C612" i="9"/>
  <c r="G611" i="9"/>
  <c r="F612" i="9"/>
  <c r="I612" i="9"/>
  <c r="I611" i="9"/>
  <c r="J612" i="9"/>
  <c r="L612" i="9"/>
  <c r="E612" i="9"/>
  <c r="M612" i="9"/>
  <c r="D611" i="9"/>
  <c r="J611" i="9"/>
  <c r="F611" i="9"/>
  <c r="D612" i="9"/>
  <c r="E611" i="9"/>
  <c r="I6" i="9"/>
  <c r="F11" i="9" l="1"/>
  <c r="G11" i="9" s="1"/>
  <c r="D17" i="4"/>
  <c r="W18" i="8"/>
  <c r="P18" i="8"/>
  <c r="Q18" i="8"/>
  <c r="O18" i="8"/>
  <c r="S18" i="8"/>
  <c r="T18" i="8"/>
  <c r="N18" i="8"/>
  <c r="X18" i="8"/>
  <c r="R18" i="8"/>
  <c r="V18" i="8"/>
  <c r="J18" i="8"/>
  <c r="L18" i="8"/>
  <c r="H18" i="8"/>
  <c r="M19" i="8"/>
  <c r="O19" i="8"/>
  <c r="M18" i="8"/>
  <c r="Q19" i="8"/>
  <c r="T19" i="8"/>
  <c r="S19" i="8"/>
  <c r="P19" i="8"/>
  <c r="N19" i="8"/>
  <c r="D8" i="7"/>
  <c r="W19" i="8"/>
  <c r="X19" i="8"/>
  <c r="F18" i="8"/>
  <c r="L19" i="8"/>
  <c r="K18" i="8"/>
  <c r="U19" i="8"/>
  <c r="J19" i="8"/>
  <c r="K19" i="8"/>
  <c r="U18" i="8"/>
  <c r="G19" i="8"/>
  <c r="H19" i="8"/>
  <c r="V19" i="8"/>
  <c r="G18" i="8"/>
  <c r="I19" i="8"/>
  <c r="I18" i="8"/>
  <c r="R19" i="8"/>
  <c r="Y19" i="8"/>
  <c r="E5" i="7"/>
  <c r="E47" i="11" s="1"/>
  <c r="E49" i="11" s="1"/>
  <c r="F19" i="8"/>
  <c r="J11" i="4"/>
  <c r="J12" i="4" s="1"/>
  <c r="D15" i="9"/>
  <c r="E18" i="8"/>
  <c r="E102" i="4" l="1"/>
  <c r="F5" i="7"/>
  <c r="F47" i="11" s="1"/>
  <c r="F49" i="11" s="1"/>
  <c r="C12" i="9"/>
  <c r="L11" i="9"/>
  <c r="F12" i="9"/>
  <c r="D16" i="9"/>
  <c r="F102" i="4" l="1"/>
  <c r="G5" i="7"/>
  <c r="G47" i="11" s="1"/>
  <c r="G49" i="11" s="1"/>
  <c r="I11" i="9"/>
  <c r="F13" i="9"/>
  <c r="J11" i="9"/>
  <c r="E12" i="9"/>
  <c r="M12" i="9" s="1"/>
  <c r="D17" i="9"/>
  <c r="G102" i="4" l="1"/>
  <c r="H5" i="7"/>
  <c r="H47" i="11" s="1"/>
  <c r="H49" i="11" s="1"/>
  <c r="G12" i="9"/>
  <c r="C13" i="9" s="1"/>
  <c r="L12" i="9"/>
  <c r="D18" i="9"/>
  <c r="F14" i="9"/>
  <c r="I5" i="7" l="1"/>
  <c r="I47" i="11" s="1"/>
  <c r="I49" i="11" s="1"/>
  <c r="H102" i="4"/>
  <c r="J12" i="9"/>
  <c r="D19" i="9"/>
  <c r="F15" i="9"/>
  <c r="I12" i="9"/>
  <c r="E13" i="9"/>
  <c r="G13" i="9" s="1"/>
  <c r="C14" i="9" s="1"/>
  <c r="J5" i="7" l="1"/>
  <c r="J47" i="11" s="1"/>
  <c r="J49" i="11" s="1"/>
  <c r="I101" i="4"/>
  <c r="E14" i="9"/>
  <c r="F16" i="9"/>
  <c r="M13" i="9"/>
  <c r="L13" i="9"/>
  <c r="D20" i="9"/>
  <c r="K5" i="7" l="1"/>
  <c r="K47" i="11" s="1"/>
  <c r="K49" i="11" s="1"/>
  <c r="J101" i="4"/>
  <c r="I13" i="9"/>
  <c r="J13" i="9"/>
  <c r="M14" i="9"/>
  <c r="L14" i="9"/>
  <c r="D21" i="9"/>
  <c r="F17" i="9"/>
  <c r="G14" i="9"/>
  <c r="C15" i="9" s="1"/>
  <c r="K101" i="4" l="1"/>
  <c r="L5" i="7"/>
  <c r="L47" i="11" s="1"/>
  <c r="L49" i="11" s="1"/>
  <c r="J14" i="9"/>
  <c r="E15" i="9"/>
  <c r="G15" i="9" s="1"/>
  <c r="C16" i="9" s="1"/>
  <c r="F18" i="9"/>
  <c r="D22" i="9"/>
  <c r="I14" i="9"/>
  <c r="M5" i="7" l="1"/>
  <c r="M47" i="11" s="1"/>
  <c r="M49" i="11" s="1"/>
  <c r="L102" i="4"/>
  <c r="D23" i="9"/>
  <c r="F19" i="9"/>
  <c r="M15" i="9"/>
  <c r="L15" i="9"/>
  <c r="E16" i="9"/>
  <c r="G16" i="9" s="1"/>
  <c r="C17" i="9" s="1"/>
  <c r="N5" i="7" l="1"/>
  <c r="N47" i="11" s="1"/>
  <c r="N49" i="11" s="1"/>
  <c r="M102" i="4"/>
  <c r="E17" i="9"/>
  <c r="F20" i="9"/>
  <c r="M16" i="9"/>
  <c r="L16" i="9"/>
  <c r="J15" i="9"/>
  <c r="I15" i="9"/>
  <c r="D24" i="9"/>
  <c r="N102" i="4" l="1"/>
  <c r="O5" i="7"/>
  <c r="O47" i="11" s="1"/>
  <c r="O49" i="11" s="1"/>
  <c r="I16" i="9"/>
  <c r="J16" i="9"/>
  <c r="F21" i="9"/>
  <c r="M17" i="9"/>
  <c r="L17" i="9"/>
  <c r="D25" i="9"/>
  <c r="G17" i="9"/>
  <c r="C18" i="9" s="1"/>
  <c r="P5" i="7" l="1"/>
  <c r="P47" i="11" s="1"/>
  <c r="P49" i="11" s="1"/>
  <c r="O102" i="4"/>
  <c r="I17" i="9"/>
  <c r="J17" i="9"/>
  <c r="F22" i="9"/>
  <c r="E18" i="9"/>
  <c r="G18" i="9" s="1"/>
  <c r="C19" i="9" s="1"/>
  <c r="D26" i="9"/>
  <c r="Q5" i="7" l="1"/>
  <c r="Q47" i="11" s="1"/>
  <c r="Q49" i="11" s="1"/>
  <c r="D27" i="9"/>
  <c r="E19" i="9"/>
  <c r="M18" i="9"/>
  <c r="L18" i="9"/>
  <c r="F23" i="9"/>
  <c r="R5" i="7" l="1"/>
  <c r="R47" i="11" s="1"/>
  <c r="R49" i="11" s="1"/>
  <c r="I18" i="9"/>
  <c r="F24" i="9"/>
  <c r="M19" i="9"/>
  <c r="L19" i="9"/>
  <c r="J18" i="9"/>
  <c r="G19" i="9"/>
  <c r="C20" i="9" s="1"/>
  <c r="D28" i="9"/>
  <c r="S5" i="7" l="1"/>
  <c r="S47" i="11" s="1"/>
  <c r="S49" i="11" s="1"/>
  <c r="R102" i="4"/>
  <c r="I19" i="9"/>
  <c r="E20" i="9"/>
  <c r="D29" i="9"/>
  <c r="F25" i="9"/>
  <c r="J19" i="9"/>
  <c r="T5" i="7" l="1"/>
  <c r="T47" i="11" s="1"/>
  <c r="T49" i="11" s="1"/>
  <c r="F26" i="9"/>
  <c r="M20" i="9"/>
  <c r="L20" i="9"/>
  <c r="D30" i="9"/>
  <c r="G20" i="9"/>
  <c r="C21" i="9" s="1"/>
  <c r="S102" i="4" l="1"/>
  <c r="U5" i="7"/>
  <c r="U47" i="11" s="1"/>
  <c r="U49" i="11" s="1"/>
  <c r="I20" i="9"/>
  <c r="E21" i="9"/>
  <c r="D31" i="9"/>
  <c r="J20" i="9"/>
  <c r="F27" i="9"/>
  <c r="V5" i="7" l="1"/>
  <c r="V47" i="11" s="1"/>
  <c r="V49" i="11" s="1"/>
  <c r="T102" i="4"/>
  <c r="M21" i="9"/>
  <c r="L21" i="9"/>
  <c r="F28" i="9"/>
  <c r="D32" i="9"/>
  <c r="G21" i="9"/>
  <c r="C22" i="9" s="1"/>
  <c r="U102" i="4" l="1"/>
  <c r="W5" i="7"/>
  <c r="W47" i="11" s="1"/>
  <c r="W49" i="11" s="1"/>
  <c r="I21" i="9"/>
  <c r="E22" i="9"/>
  <c r="F29" i="9"/>
  <c r="D33" i="9"/>
  <c r="J21" i="9"/>
  <c r="X5" i="7" l="1"/>
  <c r="X47" i="11" s="1"/>
  <c r="X49" i="11" s="1"/>
  <c r="V102" i="4"/>
  <c r="D34" i="9"/>
  <c r="M22" i="9"/>
  <c r="L22" i="9"/>
  <c r="F30" i="9"/>
  <c r="G22" i="9"/>
  <c r="C23" i="9" s="1"/>
  <c r="Y5" i="7" l="1"/>
  <c r="Y9" i="7" s="1"/>
  <c r="W102" i="4"/>
  <c r="F31" i="9"/>
  <c r="E23" i="9"/>
  <c r="G23" i="9" s="1"/>
  <c r="C24" i="9" s="1"/>
  <c r="D35" i="9"/>
  <c r="I22" i="9"/>
  <c r="R22" i="9"/>
  <c r="E5" i="8" s="1"/>
  <c r="E41" i="8" s="1"/>
  <c r="J22" i="9"/>
  <c r="S22" i="9"/>
  <c r="E6" i="8" s="1"/>
  <c r="Z5" i="7" l="1"/>
  <c r="Z47" i="11" s="1"/>
  <c r="Z49" i="11" s="1"/>
  <c r="X102" i="4"/>
  <c r="Y47" i="11"/>
  <c r="Y49" i="11" s="1"/>
  <c r="AA5" i="7"/>
  <c r="Y10" i="7"/>
  <c r="X93" i="4"/>
  <c r="E7" i="8"/>
  <c r="E24" i="9"/>
  <c r="D36" i="9"/>
  <c r="F32" i="9"/>
  <c r="M23" i="9"/>
  <c r="L23" i="9"/>
  <c r="Z9" i="7" l="1"/>
  <c r="Z11" i="7" s="1"/>
  <c r="E39" i="11"/>
  <c r="E43" i="11" s="1"/>
  <c r="E24" i="8"/>
  <c r="Y102" i="4"/>
  <c r="AA47" i="11"/>
  <c r="AA49" i="11" s="1"/>
  <c r="AA9" i="7"/>
  <c r="Z102" i="4"/>
  <c r="AB5" i="7"/>
  <c r="E55" i="8"/>
  <c r="E29" i="8" s="1"/>
  <c r="F33" i="9"/>
  <c r="M24" i="9"/>
  <c r="L24" i="9"/>
  <c r="E42" i="8"/>
  <c r="D37" i="9"/>
  <c r="I23" i="9"/>
  <c r="J23" i="9"/>
  <c r="G24" i="9"/>
  <c r="C25" i="9" s="1"/>
  <c r="Z10" i="7" l="1"/>
  <c r="Y93" i="4"/>
  <c r="AA11" i="7"/>
  <c r="E30" i="8"/>
  <c r="AB47" i="11"/>
  <c r="AB49" i="11" s="1"/>
  <c r="AB9" i="7"/>
  <c r="E45" i="8"/>
  <c r="AA102" i="4"/>
  <c r="AC5" i="7"/>
  <c r="Z93" i="4"/>
  <c r="AA10" i="7"/>
  <c r="E43" i="8"/>
  <c r="I24" i="9"/>
  <c r="E25" i="9"/>
  <c r="J24" i="9"/>
  <c r="F34" i="9"/>
  <c r="E25" i="8"/>
  <c r="D38" i="9"/>
  <c r="E36" i="8" l="1"/>
  <c r="AB11" i="7"/>
  <c r="AC47" i="11"/>
  <c r="AC49" i="11" s="1"/>
  <c r="AC9" i="7"/>
  <c r="AB102" i="4"/>
  <c r="AD5" i="7"/>
  <c r="AB10" i="7"/>
  <c r="AA93" i="4"/>
  <c r="D39" i="9"/>
  <c r="F35" i="9"/>
  <c r="M25" i="9"/>
  <c r="L25" i="9"/>
  <c r="E31" i="8"/>
  <c r="E92" i="4"/>
  <c r="E91" i="4"/>
  <c r="E97" i="4" s="1"/>
  <c r="E101" i="4" s="1"/>
  <c r="G25" i="9"/>
  <c r="C26" i="9" s="1"/>
  <c r="AC11" i="7" l="1"/>
  <c r="AD47" i="11"/>
  <c r="AD49" i="11" s="1"/>
  <c r="AD9" i="7"/>
  <c r="AC102" i="4"/>
  <c r="AE5" i="7"/>
  <c r="AB93" i="4"/>
  <c r="AC10" i="7"/>
  <c r="E37" i="8"/>
  <c r="I25" i="9"/>
  <c r="E26" i="9"/>
  <c r="J25" i="9"/>
  <c r="F36" i="9"/>
  <c r="D40" i="9"/>
  <c r="AD11" i="7" l="1"/>
  <c r="AE47" i="11"/>
  <c r="AE49" i="11" s="1"/>
  <c r="AE9" i="7"/>
  <c r="AC93" i="4"/>
  <c r="AD10" i="7"/>
  <c r="AD102" i="4"/>
  <c r="AF5" i="7"/>
  <c r="AE102" i="4" s="1"/>
  <c r="M26" i="9"/>
  <c r="L26" i="9"/>
  <c r="D41" i="9"/>
  <c r="G26" i="9"/>
  <c r="C27" i="9" s="1"/>
  <c r="F37" i="9"/>
  <c r="AE11" i="7" l="1"/>
  <c r="AF47" i="11"/>
  <c r="AF49" i="11" s="1"/>
  <c r="AF9" i="7"/>
  <c r="AE93" i="4" s="1"/>
  <c r="AD93" i="4"/>
  <c r="AE10" i="7"/>
  <c r="AG5" i="7"/>
  <c r="AF102" i="4" s="1"/>
  <c r="E27" i="9"/>
  <c r="G27" i="9" s="1"/>
  <c r="C28" i="9" s="1"/>
  <c r="D42" i="9"/>
  <c r="I26" i="9"/>
  <c r="F38" i="9"/>
  <c r="J26" i="9"/>
  <c r="AF11" i="7" l="1"/>
  <c r="AG47" i="11"/>
  <c r="AG49" i="11" s="1"/>
  <c r="AG9" i="7"/>
  <c r="AF93" i="4" s="1"/>
  <c r="AF10" i="7"/>
  <c r="AH5" i="7"/>
  <c r="AG102" i="4" s="1"/>
  <c r="D43" i="9"/>
  <c r="M27" i="9"/>
  <c r="L27" i="9"/>
  <c r="E28" i="9"/>
  <c r="G28" i="9" s="1"/>
  <c r="C29" i="9" s="1"/>
  <c r="F39" i="9"/>
  <c r="AG11" i="7" l="1"/>
  <c r="AH47" i="11"/>
  <c r="AH49" i="11" s="1"/>
  <c r="AH9" i="7"/>
  <c r="AG93" i="4" s="1"/>
  <c r="AG10" i="7"/>
  <c r="AI5" i="7"/>
  <c r="AH102" i="4" s="1"/>
  <c r="E29" i="9"/>
  <c r="I27" i="9"/>
  <c r="D44" i="9"/>
  <c r="F40" i="9"/>
  <c r="M28" i="9"/>
  <c r="L28" i="9"/>
  <c r="J27" i="9"/>
  <c r="AH11" i="7" l="1"/>
  <c r="AI47" i="11"/>
  <c r="AI49" i="11" s="1"/>
  <c r="AI9" i="7"/>
  <c r="AH93" i="4" s="1"/>
  <c r="AH94" i="4" s="1"/>
  <c r="AH10" i="7"/>
  <c r="AJ5" i="7"/>
  <c r="AI102" i="4" s="1"/>
  <c r="I28" i="9"/>
  <c r="F41" i="9"/>
  <c r="D45" i="9"/>
  <c r="M29" i="9"/>
  <c r="L29" i="9"/>
  <c r="J28" i="9"/>
  <c r="G29" i="9"/>
  <c r="C30" i="9" s="1"/>
  <c r="AI11" i="7" l="1"/>
  <c r="AJ47" i="11"/>
  <c r="AJ49" i="11" s="1"/>
  <c r="AJ9" i="7"/>
  <c r="AI93" i="4" s="1"/>
  <c r="AI94" i="4" s="1"/>
  <c r="AI10" i="7"/>
  <c r="AK5" i="7"/>
  <c r="AJ102" i="4" s="1"/>
  <c r="I29" i="9"/>
  <c r="J29" i="9"/>
  <c r="E30" i="9"/>
  <c r="F42" i="9"/>
  <c r="D46" i="9"/>
  <c r="AJ11" i="7" l="1"/>
  <c r="AK47" i="11"/>
  <c r="AK49" i="11" s="1"/>
  <c r="AK9" i="7"/>
  <c r="AJ93" i="4" s="1"/>
  <c r="AJ94" i="4" s="1"/>
  <c r="AL5" i="7"/>
  <c r="AK102" i="4" s="1"/>
  <c r="AJ10" i="7"/>
  <c r="D47" i="9"/>
  <c r="M30" i="9"/>
  <c r="L30" i="9"/>
  <c r="F43" i="9"/>
  <c r="G30" i="9"/>
  <c r="C31" i="9" s="1"/>
  <c r="AK11" i="7" l="1"/>
  <c r="AL47" i="11"/>
  <c r="AL49" i="11" s="1"/>
  <c r="AL9" i="7"/>
  <c r="AK93" i="4" s="1"/>
  <c r="AK94" i="4" s="1"/>
  <c r="AK10" i="7"/>
  <c r="AM5" i="7"/>
  <c r="AL102" i="4" s="1"/>
  <c r="I30" i="9"/>
  <c r="F44" i="9"/>
  <c r="D48" i="9"/>
  <c r="E31" i="9"/>
  <c r="G31" i="9" s="1"/>
  <c r="C32" i="9" s="1"/>
  <c r="J30" i="9"/>
  <c r="AL11" i="7" l="1"/>
  <c r="AM47" i="11"/>
  <c r="AM49" i="11" s="1"/>
  <c r="AM9" i="7"/>
  <c r="AL93" i="4" s="1"/>
  <c r="AL94" i="4" s="1"/>
  <c r="AL10" i="7"/>
  <c r="AN5" i="7"/>
  <c r="AM102" i="4" s="1"/>
  <c r="E32" i="9"/>
  <c r="F45" i="9"/>
  <c r="M31" i="9"/>
  <c r="L31" i="9"/>
  <c r="D49" i="9"/>
  <c r="AM11" i="7" l="1"/>
  <c r="AN47" i="11"/>
  <c r="AN49" i="11" s="1"/>
  <c r="AN9" i="7"/>
  <c r="AM93" i="4" s="1"/>
  <c r="AM94" i="4" s="1"/>
  <c r="AM10" i="7"/>
  <c r="AO5" i="7"/>
  <c r="AS102" i="4" s="1"/>
  <c r="I31" i="9"/>
  <c r="J31" i="9"/>
  <c r="F46" i="9"/>
  <c r="D50" i="9"/>
  <c r="M32" i="9"/>
  <c r="L32" i="9"/>
  <c r="G32" i="9"/>
  <c r="C33" i="9" s="1"/>
  <c r="AN11" i="7" l="1"/>
  <c r="AO47" i="11"/>
  <c r="AO49" i="11" s="1"/>
  <c r="AO9" i="7"/>
  <c r="AS93" i="4" s="1"/>
  <c r="AS94" i="4" s="1"/>
  <c r="AP5" i="7"/>
  <c r="AT102" i="4" s="1"/>
  <c r="AN10" i="7"/>
  <c r="I32" i="9"/>
  <c r="J32" i="9"/>
  <c r="F47" i="9"/>
  <c r="E33" i="9"/>
  <c r="D51" i="9"/>
  <c r="AO11" i="7" l="1"/>
  <c r="AP47" i="11"/>
  <c r="AP49" i="11" s="1"/>
  <c r="AP9" i="7"/>
  <c r="AT93" i="4" s="1"/>
  <c r="AT94" i="4" s="1"/>
  <c r="AQ5" i="7"/>
  <c r="AU102" i="4" s="1"/>
  <c r="AO10" i="7"/>
  <c r="D52" i="9"/>
  <c r="M33" i="9"/>
  <c r="L33" i="9"/>
  <c r="F48" i="9"/>
  <c r="G33" i="9"/>
  <c r="C34" i="9" s="1"/>
  <c r="AP11" i="7" l="1"/>
  <c r="AQ47" i="11"/>
  <c r="AQ49" i="11" s="1"/>
  <c r="AQ9" i="7"/>
  <c r="AU93" i="4" s="1"/>
  <c r="AU94" i="4" s="1"/>
  <c r="AR5" i="7"/>
  <c r="AV102" i="4" s="1"/>
  <c r="AP10" i="7"/>
  <c r="I33" i="9"/>
  <c r="E34" i="9"/>
  <c r="F49" i="9"/>
  <c r="J33" i="9"/>
  <c r="D53" i="9"/>
  <c r="AQ11" i="7" l="1"/>
  <c r="AR47" i="11"/>
  <c r="AR49" i="11" s="1"/>
  <c r="AR9" i="7"/>
  <c r="AV93" i="4" s="1"/>
  <c r="AV94" i="4" s="1"/>
  <c r="AQ10" i="7"/>
  <c r="AS5" i="7"/>
  <c r="AW102" i="4" s="1"/>
  <c r="M34" i="9"/>
  <c r="S34" i="9" s="1"/>
  <c r="L34" i="9"/>
  <c r="D54" i="9"/>
  <c r="F50" i="9"/>
  <c r="G34" i="9"/>
  <c r="C35" i="9" s="1"/>
  <c r="AR11" i="7" l="1"/>
  <c r="AS47" i="11"/>
  <c r="AS49" i="11" s="1"/>
  <c r="AS9" i="7"/>
  <c r="AW93" i="4" s="1"/>
  <c r="AW94" i="4" s="1"/>
  <c r="AT5" i="7"/>
  <c r="AX102" i="4" s="1"/>
  <c r="AR10" i="7"/>
  <c r="F51" i="9"/>
  <c r="D55" i="9"/>
  <c r="I34" i="9"/>
  <c r="R34" i="9"/>
  <c r="F5" i="8" s="1"/>
  <c r="F41" i="8" s="1"/>
  <c r="E35" i="9"/>
  <c r="J34" i="9"/>
  <c r="F6" i="8"/>
  <c r="AS11" i="7" l="1"/>
  <c r="AT47" i="11"/>
  <c r="AT49" i="11" s="1"/>
  <c r="AT9" i="7"/>
  <c r="AX93" i="4" s="1"/>
  <c r="AX94" i="4" s="1"/>
  <c r="AS10" i="7"/>
  <c r="AU5" i="7"/>
  <c r="AY102" i="4" s="1"/>
  <c r="F7" i="8"/>
  <c r="F39" i="11" s="1"/>
  <c r="F43" i="11" s="1"/>
  <c r="D56" i="9"/>
  <c r="M35" i="9"/>
  <c r="L35" i="9"/>
  <c r="G35" i="9"/>
  <c r="C36" i="9" s="1"/>
  <c r="F52" i="9"/>
  <c r="AT11" i="7" l="1"/>
  <c r="AU47" i="11"/>
  <c r="AU49" i="11" s="1"/>
  <c r="AU9" i="7"/>
  <c r="AY93" i="4" s="1"/>
  <c r="AY94" i="4" s="1"/>
  <c r="AT10" i="7"/>
  <c r="AV5" i="7"/>
  <c r="J35" i="9"/>
  <c r="I35" i="9"/>
  <c r="E36" i="9"/>
  <c r="D57" i="9"/>
  <c r="F53" i="9"/>
  <c r="F42" i="8"/>
  <c r="F55" i="8"/>
  <c r="F29" i="8" s="1"/>
  <c r="F24" i="8"/>
  <c r="AU11" i="7" l="1"/>
  <c r="AV47" i="11"/>
  <c r="AV49" i="11" s="1"/>
  <c r="AV9" i="7"/>
  <c r="AU10" i="7"/>
  <c r="AW5" i="7"/>
  <c r="F43" i="8"/>
  <c r="M36" i="9"/>
  <c r="L36" i="9"/>
  <c r="D58" i="9"/>
  <c r="G36" i="9"/>
  <c r="C37" i="9" s="1"/>
  <c r="F30" i="8"/>
  <c r="F26" i="8"/>
  <c r="F25" i="8"/>
  <c r="F45" i="8"/>
  <c r="F54" i="9"/>
  <c r="F32" i="8" l="1"/>
  <c r="AV11" i="7"/>
  <c r="AW47" i="11"/>
  <c r="AW49" i="11" s="1"/>
  <c r="AW9" i="7"/>
  <c r="F36" i="8"/>
  <c r="AX5" i="7"/>
  <c r="AV10" i="7"/>
  <c r="F92" i="4"/>
  <c r="F91" i="4"/>
  <c r="F97" i="4" s="1"/>
  <c r="F101" i="4" s="1"/>
  <c r="F31" i="8"/>
  <c r="E37" i="9"/>
  <c r="G37" i="9" s="1"/>
  <c r="C38" i="9" s="1"/>
  <c r="D59" i="9"/>
  <c r="F55" i="9"/>
  <c r="I36" i="9"/>
  <c r="J36" i="9"/>
  <c r="AW11" i="7" l="1"/>
  <c r="AX47" i="11"/>
  <c r="AX49" i="11" s="1"/>
  <c r="AX9" i="7"/>
  <c r="F38" i="8"/>
  <c r="AY5" i="7"/>
  <c r="AW10" i="7"/>
  <c r="F37" i="8"/>
  <c r="F56" i="9"/>
  <c r="D60" i="9"/>
  <c r="M37" i="9"/>
  <c r="L37" i="9"/>
  <c r="E38" i="9"/>
  <c r="AX11" i="7" l="1"/>
  <c r="AY47" i="11"/>
  <c r="AY49" i="11" s="1"/>
  <c r="AY9" i="7"/>
  <c r="AZ5" i="7"/>
  <c r="AX10" i="7"/>
  <c r="D61" i="9"/>
  <c r="F57" i="9"/>
  <c r="M38" i="9"/>
  <c r="L38" i="9"/>
  <c r="I37" i="9"/>
  <c r="G38" i="9"/>
  <c r="C39" i="9" s="1"/>
  <c r="J37" i="9"/>
  <c r="AY11" i="7" l="1"/>
  <c r="AZ47" i="11"/>
  <c r="AZ49" i="11" s="1"/>
  <c r="AZ9" i="7"/>
  <c r="BA5" i="7"/>
  <c r="AY10" i="7"/>
  <c r="I38" i="9"/>
  <c r="F58" i="9"/>
  <c r="E39" i="9"/>
  <c r="D62" i="9"/>
  <c r="J38" i="9"/>
  <c r="AZ11" i="7" l="1"/>
  <c r="BA47" i="11"/>
  <c r="BA49" i="11" s="1"/>
  <c r="BA9" i="7"/>
  <c r="AZ102" i="4"/>
  <c r="BB5" i="7"/>
  <c r="AZ10" i="7"/>
  <c r="M39" i="9"/>
  <c r="L39" i="9"/>
  <c r="G39" i="9"/>
  <c r="C40" i="9" s="1"/>
  <c r="D63" i="9"/>
  <c r="F59" i="9"/>
  <c r="BA11" i="7" l="1"/>
  <c r="BB47" i="11"/>
  <c r="BB49" i="11" s="1"/>
  <c r="BB9" i="7"/>
  <c r="BA102" i="4"/>
  <c r="AZ93" i="4"/>
  <c r="BA10" i="7"/>
  <c r="F60" i="9"/>
  <c r="E40" i="9"/>
  <c r="G40" i="9" s="1"/>
  <c r="C41" i="9" s="1"/>
  <c r="D64" i="9"/>
  <c r="I39" i="9"/>
  <c r="J39" i="9"/>
  <c r="BB11" i="7" l="1"/>
  <c r="BB10" i="7"/>
  <c r="BA93" i="4"/>
  <c r="E41" i="9"/>
  <c r="M40" i="9"/>
  <c r="L40" i="9"/>
  <c r="F61" i="9"/>
  <c r="D65" i="9"/>
  <c r="F62" i="9" l="1"/>
  <c r="M41" i="9"/>
  <c r="L41" i="9"/>
  <c r="D66" i="9"/>
  <c r="I40" i="9"/>
  <c r="J40" i="9"/>
  <c r="G41" i="9"/>
  <c r="C42" i="9" s="1"/>
  <c r="I41" i="9" l="1"/>
  <c r="D67" i="9"/>
  <c r="J41" i="9"/>
  <c r="E42" i="9"/>
  <c r="G42" i="9" s="1"/>
  <c r="C43" i="9" s="1"/>
  <c r="F63" i="9"/>
  <c r="E43" i="9" l="1"/>
  <c r="F64" i="9"/>
  <c r="D68" i="9"/>
  <c r="M42" i="9"/>
  <c r="L42" i="9"/>
  <c r="I42" i="9" l="1"/>
  <c r="J42" i="9"/>
  <c r="F65" i="9"/>
  <c r="M43" i="9"/>
  <c r="L43" i="9"/>
  <c r="D69" i="9"/>
  <c r="G43" i="9"/>
  <c r="C44" i="9" s="1"/>
  <c r="I43" i="9" l="1"/>
  <c r="D70" i="9"/>
  <c r="E44" i="9"/>
  <c r="J43" i="9"/>
  <c r="F66" i="9"/>
  <c r="F67" i="9" l="1"/>
  <c r="M44" i="9"/>
  <c r="L44" i="9"/>
  <c r="D71" i="9"/>
  <c r="G44" i="9"/>
  <c r="C45" i="9" s="1"/>
  <c r="I44" i="9" l="1"/>
  <c r="D72" i="9"/>
  <c r="F68" i="9"/>
  <c r="E45" i="9"/>
  <c r="G45" i="9" s="1"/>
  <c r="C46" i="9" s="1"/>
  <c r="J44" i="9"/>
  <c r="E46" i="9" l="1"/>
  <c r="D73" i="9"/>
  <c r="M45" i="9"/>
  <c r="L45" i="9"/>
  <c r="F69" i="9"/>
  <c r="I45" i="9" l="1"/>
  <c r="J45" i="9"/>
  <c r="F70" i="9"/>
  <c r="M46" i="9"/>
  <c r="L46" i="9"/>
  <c r="D74" i="9"/>
  <c r="G46" i="9"/>
  <c r="C47" i="9" s="1"/>
  <c r="I46" i="9" l="1"/>
  <c r="R46" i="9"/>
  <c r="G5" i="8" s="1"/>
  <c r="G41" i="8" s="1"/>
  <c r="D75" i="9"/>
  <c r="F71" i="9"/>
  <c r="E47" i="9"/>
  <c r="G47" i="9" s="1"/>
  <c r="C48" i="9" s="1"/>
  <c r="J46" i="9"/>
  <c r="S46" i="9"/>
  <c r="G6" i="8" s="1"/>
  <c r="E48" i="9" l="1"/>
  <c r="D76" i="9"/>
  <c r="M47" i="9"/>
  <c r="L47" i="9"/>
  <c r="F72" i="9"/>
  <c r="G7" i="8"/>
  <c r="G39" i="11" s="1"/>
  <c r="G43" i="11" s="1"/>
  <c r="I47" i="9" l="1"/>
  <c r="F73" i="9"/>
  <c r="J47" i="9"/>
  <c r="D77" i="9"/>
  <c r="G42" i="8"/>
  <c r="M48" i="9"/>
  <c r="L48" i="9"/>
  <c r="G55" i="8"/>
  <c r="G29" i="8" s="1"/>
  <c r="G24" i="8"/>
  <c r="G48" i="9"/>
  <c r="C49" i="9" s="1"/>
  <c r="G43" i="8" l="1"/>
  <c r="I48" i="9"/>
  <c r="D78" i="9"/>
  <c r="G26" i="8"/>
  <c r="G25" i="8"/>
  <c r="G30" i="8"/>
  <c r="E49" i="9"/>
  <c r="G49" i="9" s="1"/>
  <c r="C50" i="9" s="1"/>
  <c r="J48" i="9"/>
  <c r="F74" i="9"/>
  <c r="G45" i="8"/>
  <c r="G36" i="8" l="1"/>
  <c r="M49" i="9"/>
  <c r="L49" i="9"/>
  <c r="E50" i="9"/>
  <c r="G50" i="9" s="1"/>
  <c r="C51" i="9" s="1"/>
  <c r="G32" i="8"/>
  <c r="G31" i="8"/>
  <c r="G91" i="4"/>
  <c r="G97" i="4" s="1"/>
  <c r="G101" i="4" s="1"/>
  <c r="G92" i="4"/>
  <c r="F75" i="9"/>
  <c r="D79" i="9"/>
  <c r="G38" i="8" l="1"/>
  <c r="G37" i="8"/>
  <c r="F76" i="9"/>
  <c r="M50" i="9"/>
  <c r="L50" i="9"/>
  <c r="E51" i="9"/>
  <c r="G51" i="9" s="1"/>
  <c r="C52" i="9" s="1"/>
  <c r="I49" i="9"/>
  <c r="D80" i="9"/>
  <c r="J49" i="9"/>
  <c r="J50" i="9" l="1"/>
  <c r="D81" i="9"/>
  <c r="M51" i="9"/>
  <c r="L51" i="9"/>
  <c r="F77" i="9"/>
  <c r="E52" i="9"/>
  <c r="I50" i="9"/>
  <c r="F78" i="9" l="1"/>
  <c r="I51" i="9"/>
  <c r="M52" i="9"/>
  <c r="L52" i="9"/>
  <c r="G52" i="9"/>
  <c r="C53" i="9" s="1"/>
  <c r="J51" i="9"/>
  <c r="D82" i="9"/>
  <c r="I52" i="9" l="1"/>
  <c r="E53" i="9"/>
  <c r="F79" i="9"/>
  <c r="J52" i="9"/>
  <c r="D83" i="9"/>
  <c r="D84" i="9" l="1"/>
  <c r="F80" i="9"/>
  <c r="M53" i="9"/>
  <c r="L53" i="9"/>
  <c r="G53" i="9"/>
  <c r="C54" i="9" s="1"/>
  <c r="I53" i="9" l="1"/>
  <c r="F81" i="9"/>
  <c r="J53" i="9"/>
  <c r="E54" i="9"/>
  <c r="D85" i="9"/>
  <c r="D86" i="9" l="1"/>
  <c r="M54" i="9"/>
  <c r="L54" i="9"/>
  <c r="G54" i="9"/>
  <c r="C55" i="9" s="1"/>
  <c r="F82" i="9"/>
  <c r="I54" i="9" l="1"/>
  <c r="E55" i="9"/>
  <c r="F83" i="9"/>
  <c r="J54" i="9"/>
  <c r="D87" i="9"/>
  <c r="D88" i="9" l="1"/>
  <c r="M55" i="9"/>
  <c r="L55" i="9"/>
  <c r="F84" i="9"/>
  <c r="G55" i="9"/>
  <c r="C56" i="9" s="1"/>
  <c r="I55" i="9" l="1"/>
  <c r="F85" i="9"/>
  <c r="D89" i="9"/>
  <c r="E56" i="9"/>
  <c r="J55" i="9"/>
  <c r="D90" i="9" l="1"/>
  <c r="M56" i="9"/>
  <c r="L56" i="9"/>
  <c r="F86" i="9"/>
  <c r="G56" i="9"/>
  <c r="C57" i="9" s="1"/>
  <c r="I56" i="9" l="1"/>
  <c r="F87" i="9"/>
  <c r="D91" i="9"/>
  <c r="E57" i="9"/>
  <c r="J56" i="9"/>
  <c r="M57" i="9" l="1"/>
  <c r="L57" i="9"/>
  <c r="G57" i="9"/>
  <c r="C58" i="9" s="1"/>
  <c r="F88" i="9"/>
  <c r="D92" i="9"/>
  <c r="I57" i="9" l="1"/>
  <c r="F89" i="9"/>
  <c r="D93" i="9"/>
  <c r="E58" i="9"/>
  <c r="J57" i="9"/>
  <c r="D94" i="9" l="1"/>
  <c r="M58" i="9"/>
  <c r="L58" i="9"/>
  <c r="G58" i="9"/>
  <c r="C59" i="9" s="1"/>
  <c r="F90" i="9"/>
  <c r="F91" i="9" l="1"/>
  <c r="E59" i="9"/>
  <c r="G59" i="9" s="1"/>
  <c r="C60" i="9" s="1"/>
  <c r="I58" i="9"/>
  <c r="R58" i="9"/>
  <c r="H5" i="8" s="1"/>
  <c r="H41" i="8" s="1"/>
  <c r="J58" i="9"/>
  <c r="S58" i="9"/>
  <c r="H6" i="8" s="1"/>
  <c r="D95" i="9"/>
  <c r="H7" i="8" l="1"/>
  <c r="H39" i="11" s="1"/>
  <c r="H43" i="11" s="1"/>
  <c r="E60" i="9"/>
  <c r="F92" i="9"/>
  <c r="M59" i="9"/>
  <c r="L59" i="9"/>
  <c r="D96" i="9"/>
  <c r="I59" i="9" l="1"/>
  <c r="J59" i="9"/>
  <c r="M60" i="9"/>
  <c r="L60" i="9"/>
  <c r="F93" i="9"/>
  <c r="G60" i="9"/>
  <c r="C61" i="9" s="1"/>
  <c r="H42" i="8"/>
  <c r="D97" i="9"/>
  <c r="H55" i="8"/>
  <c r="H29" i="8" s="1"/>
  <c r="H24" i="8"/>
  <c r="H43" i="8" l="1"/>
  <c r="I60" i="9"/>
  <c r="H25" i="8"/>
  <c r="H26" i="8"/>
  <c r="H30" i="8"/>
  <c r="J60" i="9"/>
  <c r="F94" i="9"/>
  <c r="D98" i="9"/>
  <c r="H45" i="8"/>
  <c r="E61" i="9"/>
  <c r="H36" i="8" l="1"/>
  <c r="D99" i="9"/>
  <c r="M61" i="9"/>
  <c r="L61" i="9"/>
  <c r="F95" i="9"/>
  <c r="G61" i="9"/>
  <c r="C62" i="9" s="1"/>
  <c r="H32" i="8"/>
  <c r="H31" i="8"/>
  <c r="H92" i="4"/>
  <c r="H91" i="4"/>
  <c r="H97" i="4" s="1"/>
  <c r="H101" i="4" s="1"/>
  <c r="H38" i="8" l="1"/>
  <c r="H37" i="8"/>
  <c r="E62" i="9"/>
  <c r="F96" i="9"/>
  <c r="I61" i="9"/>
  <c r="J61" i="9"/>
  <c r="D100" i="9"/>
  <c r="F97" i="9" l="1"/>
  <c r="M62" i="9"/>
  <c r="L62" i="9"/>
  <c r="G62" i="9"/>
  <c r="C63" i="9" s="1"/>
  <c r="D101" i="9"/>
  <c r="D102" i="9" l="1"/>
  <c r="E63" i="9"/>
  <c r="I62" i="9"/>
  <c r="J62" i="9"/>
  <c r="F98" i="9"/>
  <c r="M63" i="9" l="1"/>
  <c r="L63" i="9"/>
  <c r="G63" i="9"/>
  <c r="C64" i="9" s="1"/>
  <c r="F99" i="9"/>
  <c r="D103" i="9"/>
  <c r="D104" i="9" l="1"/>
  <c r="F100" i="9"/>
  <c r="I63" i="9"/>
  <c r="E64" i="9"/>
  <c r="G64" i="9" s="1"/>
  <c r="C65" i="9" s="1"/>
  <c r="J63" i="9"/>
  <c r="E65" i="9" l="1"/>
  <c r="F101" i="9"/>
  <c r="M64" i="9"/>
  <c r="L64" i="9"/>
  <c r="D105" i="9"/>
  <c r="I64" i="9" l="1"/>
  <c r="J64" i="9"/>
  <c r="D106" i="9"/>
  <c r="F102" i="9"/>
  <c r="M65" i="9"/>
  <c r="L65" i="9"/>
  <c r="G65" i="9"/>
  <c r="C66" i="9" s="1"/>
  <c r="I65" i="9" l="1"/>
  <c r="J65" i="9"/>
  <c r="E66" i="9"/>
  <c r="D107" i="9"/>
  <c r="F103" i="9"/>
  <c r="F104" i="9" l="1"/>
  <c r="M66" i="9"/>
  <c r="L66" i="9"/>
  <c r="D108" i="9"/>
  <c r="G66" i="9"/>
  <c r="C67" i="9" s="1"/>
  <c r="I66" i="9" l="1"/>
  <c r="E67" i="9"/>
  <c r="D109" i="9"/>
  <c r="F105" i="9"/>
  <c r="J66" i="9"/>
  <c r="D110" i="9" l="1"/>
  <c r="F106" i="9"/>
  <c r="M67" i="9"/>
  <c r="L67" i="9"/>
  <c r="G67" i="9"/>
  <c r="C68" i="9" s="1"/>
  <c r="I67" i="9" l="1"/>
  <c r="J67" i="9"/>
  <c r="E68" i="9"/>
  <c r="F107" i="9"/>
  <c r="D111" i="9"/>
  <c r="F108" i="9" l="1"/>
  <c r="D112" i="9"/>
  <c r="M68" i="9"/>
  <c r="L68" i="9"/>
  <c r="G68" i="9"/>
  <c r="C69" i="9" s="1"/>
  <c r="I68" i="9" l="1"/>
  <c r="J68" i="9"/>
  <c r="E69" i="9"/>
  <c r="D113" i="9"/>
  <c r="F109" i="9"/>
  <c r="F110" i="9" l="1"/>
  <c r="M69" i="9"/>
  <c r="L69" i="9"/>
  <c r="D114" i="9"/>
  <c r="G69" i="9"/>
  <c r="C70" i="9" s="1"/>
  <c r="I69" i="9" l="1"/>
  <c r="D115" i="9"/>
  <c r="F111" i="9"/>
  <c r="E70" i="9"/>
  <c r="G70" i="9" s="1"/>
  <c r="C71" i="9" s="1"/>
  <c r="J69" i="9"/>
  <c r="E71" i="9" l="1"/>
  <c r="M70" i="9"/>
  <c r="L70" i="9"/>
  <c r="D116" i="9"/>
  <c r="F112" i="9"/>
  <c r="F113" i="9" l="1"/>
  <c r="D117" i="9"/>
  <c r="M71" i="9"/>
  <c r="L71" i="9"/>
  <c r="I70" i="9"/>
  <c r="R70" i="9"/>
  <c r="I5" i="8" s="1"/>
  <c r="I41" i="8" s="1"/>
  <c r="J70" i="9"/>
  <c r="S70" i="9"/>
  <c r="I6" i="8" s="1"/>
  <c r="G71" i="9"/>
  <c r="C72" i="9" s="1"/>
  <c r="I7" i="8" l="1"/>
  <c r="I39" i="11" s="1"/>
  <c r="I43" i="11" s="1"/>
  <c r="D118" i="9"/>
  <c r="J71" i="9"/>
  <c r="I71" i="9"/>
  <c r="E72" i="9"/>
  <c r="F114" i="9"/>
  <c r="D119" i="9" l="1"/>
  <c r="F115" i="9"/>
  <c r="I42" i="8"/>
  <c r="M72" i="9"/>
  <c r="L72" i="9"/>
  <c r="G72" i="9"/>
  <c r="C73" i="9" s="1"/>
  <c r="I55" i="8"/>
  <c r="I29" i="8" s="1"/>
  <c r="I24" i="8"/>
  <c r="I43" i="8" l="1"/>
  <c r="I72" i="9"/>
  <c r="J72" i="9"/>
  <c r="I26" i="8"/>
  <c r="I25" i="8"/>
  <c r="I30" i="8"/>
  <c r="F116" i="9"/>
  <c r="I45" i="8"/>
  <c r="D120" i="9"/>
  <c r="E73" i="9"/>
  <c r="G73" i="9" s="1"/>
  <c r="C74" i="9" s="1"/>
  <c r="I36" i="8" l="1"/>
  <c r="E74" i="9"/>
  <c r="D121" i="9"/>
  <c r="F117" i="9"/>
  <c r="I90" i="4"/>
  <c r="I96" i="4" s="1"/>
  <c r="I100" i="4" s="1"/>
  <c r="I91" i="4"/>
  <c r="I31" i="8"/>
  <c r="I32" i="8"/>
  <c r="M73" i="9"/>
  <c r="L73" i="9"/>
  <c r="I38" i="8" l="1"/>
  <c r="I37" i="8"/>
  <c r="J73" i="9"/>
  <c r="F118" i="9"/>
  <c r="D122" i="9"/>
  <c r="M74" i="9"/>
  <c r="L74" i="9"/>
  <c r="I73" i="9"/>
  <c r="G74" i="9"/>
  <c r="C75" i="9" s="1"/>
  <c r="I74" i="9" l="1"/>
  <c r="D123" i="9"/>
  <c r="E75" i="9"/>
  <c r="F119" i="9"/>
  <c r="J74" i="9"/>
  <c r="F120" i="9" l="1"/>
  <c r="M75" i="9"/>
  <c r="L75" i="9"/>
  <c r="G75" i="9"/>
  <c r="C76" i="9" s="1"/>
  <c r="D124" i="9"/>
  <c r="E76" i="9" l="1"/>
  <c r="I75" i="9"/>
  <c r="J75" i="9"/>
  <c r="D125" i="9"/>
  <c r="F121" i="9"/>
  <c r="M76" i="9" l="1"/>
  <c r="L76" i="9"/>
  <c r="D126" i="9"/>
  <c r="F122" i="9"/>
  <c r="G76" i="9"/>
  <c r="C77" i="9" s="1"/>
  <c r="I76" i="9" l="1"/>
  <c r="E77" i="9"/>
  <c r="F123" i="9"/>
  <c r="D127" i="9"/>
  <c r="J76" i="9"/>
  <c r="M77" i="9" l="1"/>
  <c r="L77" i="9"/>
  <c r="D128" i="9"/>
  <c r="F124" i="9"/>
  <c r="G77" i="9"/>
  <c r="C78" i="9" s="1"/>
  <c r="I77" i="9" l="1"/>
  <c r="F125" i="9"/>
  <c r="E78" i="9"/>
  <c r="D129" i="9"/>
  <c r="J77" i="9"/>
  <c r="M78" i="9" l="1"/>
  <c r="L78" i="9"/>
  <c r="D130" i="9"/>
  <c r="G78" i="9"/>
  <c r="C79" i="9" s="1"/>
  <c r="F126" i="9"/>
  <c r="I78" i="9" l="1"/>
  <c r="E79" i="9"/>
  <c r="F127" i="9"/>
  <c r="D131" i="9"/>
  <c r="J78" i="9"/>
  <c r="F128" i="9" l="1"/>
  <c r="M79" i="9"/>
  <c r="L79" i="9"/>
  <c r="D132" i="9"/>
  <c r="G79" i="9"/>
  <c r="C80" i="9" s="1"/>
  <c r="I79" i="9" l="1"/>
  <c r="D133" i="9"/>
  <c r="E80" i="9"/>
  <c r="J79" i="9"/>
  <c r="F129" i="9"/>
  <c r="D134" i="9" l="1"/>
  <c r="F130" i="9"/>
  <c r="M80" i="9"/>
  <c r="L80" i="9"/>
  <c r="G80" i="9"/>
  <c r="C81" i="9" s="1"/>
  <c r="I80" i="9" l="1"/>
  <c r="J80" i="9"/>
  <c r="E81" i="9"/>
  <c r="F131" i="9"/>
  <c r="D135" i="9"/>
  <c r="D136" i="9" l="1"/>
  <c r="M81" i="9"/>
  <c r="L81" i="9"/>
  <c r="F132" i="9"/>
  <c r="G81" i="9"/>
  <c r="C82" i="9" s="1"/>
  <c r="I81" i="9" l="1"/>
  <c r="E82" i="9"/>
  <c r="F133" i="9"/>
  <c r="D137" i="9"/>
  <c r="J81" i="9"/>
  <c r="D138" i="9" l="1"/>
  <c r="M82" i="9"/>
  <c r="L82" i="9"/>
  <c r="F134" i="9"/>
  <c r="G82" i="9"/>
  <c r="C83" i="9" s="1"/>
  <c r="F135" i="9" l="1"/>
  <c r="E83" i="9"/>
  <c r="G83" i="9" s="1"/>
  <c r="C84" i="9" s="1"/>
  <c r="I82" i="9"/>
  <c r="R82" i="9"/>
  <c r="J5" i="8" s="1"/>
  <c r="J41" i="8" s="1"/>
  <c r="J82" i="9"/>
  <c r="S82" i="9"/>
  <c r="J6" i="8" s="1"/>
  <c r="D139" i="9"/>
  <c r="E84" i="9" l="1"/>
  <c r="J7" i="8"/>
  <c r="J39" i="11" s="1"/>
  <c r="J43" i="11" s="1"/>
  <c r="M83" i="9"/>
  <c r="L83" i="9"/>
  <c r="D140" i="9"/>
  <c r="F136" i="9"/>
  <c r="I83" i="9" l="1"/>
  <c r="J55" i="8"/>
  <c r="J29" i="8" s="1"/>
  <c r="J24" i="8"/>
  <c r="J42" i="8"/>
  <c r="M84" i="9"/>
  <c r="L84" i="9"/>
  <c r="D141" i="9"/>
  <c r="J83" i="9"/>
  <c r="F137" i="9"/>
  <c r="G84" i="9"/>
  <c r="C85" i="9" s="1"/>
  <c r="J43" i="8" l="1"/>
  <c r="I84" i="9"/>
  <c r="J84" i="9"/>
  <c r="J45" i="8"/>
  <c r="E85" i="9"/>
  <c r="G85" i="9" s="1"/>
  <c r="C86" i="9" s="1"/>
  <c r="J25" i="8"/>
  <c r="J26" i="8"/>
  <c r="J30" i="8"/>
  <c r="F138" i="9"/>
  <c r="D142" i="9"/>
  <c r="J36" i="8" l="1"/>
  <c r="F139" i="9"/>
  <c r="J90" i="4"/>
  <c r="J96" i="4" s="1"/>
  <c r="J100" i="4" s="1"/>
  <c r="J31" i="8"/>
  <c r="J91" i="4"/>
  <c r="J32" i="8"/>
  <c r="D143" i="9"/>
  <c r="M85" i="9"/>
  <c r="L85" i="9"/>
  <c r="E86" i="9"/>
  <c r="J37" i="8" l="1"/>
  <c r="J38" i="8"/>
  <c r="I85" i="9"/>
  <c r="D144" i="9"/>
  <c r="M86" i="9"/>
  <c r="L86" i="9"/>
  <c r="G86" i="9"/>
  <c r="C87" i="9" s="1"/>
  <c r="J85" i="9"/>
  <c r="F140" i="9"/>
  <c r="I86" i="9" l="1"/>
  <c r="E87" i="9"/>
  <c r="J86" i="9"/>
  <c r="F141" i="9"/>
  <c r="D145" i="9"/>
  <c r="F142" i="9" l="1"/>
  <c r="M87" i="9"/>
  <c r="L87" i="9"/>
  <c r="G87" i="9"/>
  <c r="C88" i="9" s="1"/>
  <c r="D146" i="9"/>
  <c r="E88" i="9" l="1"/>
  <c r="D147" i="9"/>
  <c r="I87" i="9"/>
  <c r="J87" i="9"/>
  <c r="F143" i="9"/>
  <c r="D148" i="9" l="1"/>
  <c r="F144" i="9"/>
  <c r="M88" i="9"/>
  <c r="L88" i="9"/>
  <c r="G88" i="9"/>
  <c r="C89" i="9" s="1"/>
  <c r="I88" i="9" l="1"/>
  <c r="E89" i="9"/>
  <c r="F145" i="9"/>
  <c r="D149" i="9"/>
  <c r="J88" i="9"/>
  <c r="D150" i="9" l="1"/>
  <c r="M89" i="9"/>
  <c r="L89" i="9"/>
  <c r="F146" i="9"/>
  <c r="G89" i="9"/>
  <c r="C90" i="9" s="1"/>
  <c r="I89" i="9" l="1"/>
  <c r="E90" i="9"/>
  <c r="F147" i="9"/>
  <c r="J89" i="9"/>
  <c r="D151" i="9"/>
  <c r="D152" i="9" l="1"/>
  <c r="M90" i="9"/>
  <c r="L90" i="9"/>
  <c r="F148" i="9"/>
  <c r="G90" i="9"/>
  <c r="C91" i="9" s="1"/>
  <c r="I90" i="9" l="1"/>
  <c r="F149" i="9"/>
  <c r="D153" i="9"/>
  <c r="E91" i="9"/>
  <c r="G91" i="9" s="1"/>
  <c r="C92" i="9" s="1"/>
  <c r="J90" i="9"/>
  <c r="E92" i="9" l="1"/>
  <c r="M91" i="9"/>
  <c r="L91" i="9"/>
  <c r="F150" i="9"/>
  <c r="D154" i="9"/>
  <c r="I91" i="9" l="1"/>
  <c r="F151" i="9"/>
  <c r="M92" i="9"/>
  <c r="L92" i="9"/>
  <c r="D155" i="9"/>
  <c r="J91" i="9"/>
  <c r="G92" i="9"/>
  <c r="C93" i="9" s="1"/>
  <c r="I92" i="9" l="1"/>
  <c r="E93" i="9"/>
  <c r="D156" i="9"/>
  <c r="F152" i="9"/>
  <c r="J92" i="9"/>
  <c r="F153" i="9" l="1"/>
  <c r="M93" i="9"/>
  <c r="L93" i="9"/>
  <c r="D157" i="9"/>
  <c r="G93" i="9"/>
  <c r="C94" i="9" s="1"/>
  <c r="I93" i="9" l="1"/>
  <c r="E94" i="9"/>
  <c r="D158" i="9"/>
  <c r="F154" i="9"/>
  <c r="J93" i="9"/>
  <c r="F155" i="9" l="1"/>
  <c r="M94" i="9"/>
  <c r="L94" i="9"/>
  <c r="D159" i="9"/>
  <c r="G94" i="9"/>
  <c r="C95" i="9" s="1"/>
  <c r="I94" i="9" l="1"/>
  <c r="R94" i="9"/>
  <c r="K5" i="8" s="1"/>
  <c r="K41" i="8" s="1"/>
  <c r="E95" i="9"/>
  <c r="D160" i="9"/>
  <c r="F156" i="9"/>
  <c r="J94" i="9"/>
  <c r="S94" i="9"/>
  <c r="K6" i="8" s="1"/>
  <c r="M95" i="9" l="1"/>
  <c r="L95" i="9"/>
  <c r="F157" i="9"/>
  <c r="D161" i="9"/>
  <c r="G95" i="9"/>
  <c r="C96" i="9" s="1"/>
  <c r="K7" i="8"/>
  <c r="K39" i="11" s="1"/>
  <c r="K43" i="11" s="1"/>
  <c r="K55" i="8" l="1"/>
  <c r="K29" i="8" s="1"/>
  <c r="K24" i="8"/>
  <c r="E96" i="9"/>
  <c r="F158" i="9"/>
  <c r="D162" i="9"/>
  <c r="I95" i="9"/>
  <c r="K42" i="8"/>
  <c r="J95" i="9"/>
  <c r="K43" i="8" l="1"/>
  <c r="F159" i="9"/>
  <c r="M96" i="9"/>
  <c r="L96" i="9"/>
  <c r="D163" i="9"/>
  <c r="K45" i="8"/>
  <c r="G96" i="9"/>
  <c r="C97" i="9" s="1"/>
  <c r="K25" i="8"/>
  <c r="K30" i="8"/>
  <c r="K26" i="8"/>
  <c r="K36" i="8" l="1"/>
  <c r="D164" i="9"/>
  <c r="I96" i="9"/>
  <c r="J96" i="9"/>
  <c r="K90" i="4"/>
  <c r="K96" i="4" s="1"/>
  <c r="K100" i="4" s="1"/>
  <c r="K31" i="8"/>
  <c r="K91" i="4"/>
  <c r="K32" i="8"/>
  <c r="E97" i="9"/>
  <c r="G97" i="9" s="1"/>
  <c r="C98" i="9" s="1"/>
  <c r="F160" i="9"/>
  <c r="K37" i="8" l="1"/>
  <c r="K38" i="8"/>
  <c r="E98" i="9"/>
  <c r="F161" i="9"/>
  <c r="D165" i="9"/>
  <c r="M97" i="9"/>
  <c r="L97" i="9"/>
  <c r="I97" i="9" l="1"/>
  <c r="F162" i="9"/>
  <c r="J97" i="9"/>
  <c r="D166" i="9"/>
  <c r="M98" i="9"/>
  <c r="L98" i="9"/>
  <c r="G98" i="9"/>
  <c r="C99" i="9" s="1"/>
  <c r="I98" i="9" l="1"/>
  <c r="J98" i="9"/>
  <c r="D167" i="9"/>
  <c r="F163" i="9"/>
  <c r="E99" i="9"/>
  <c r="G99" i="9" s="1"/>
  <c r="C100" i="9" s="1"/>
  <c r="E100" i="9" l="1"/>
  <c r="F164" i="9"/>
  <c r="M99" i="9"/>
  <c r="L99" i="9"/>
  <c r="D168" i="9"/>
  <c r="D169" i="9" l="1"/>
  <c r="F165" i="9"/>
  <c r="I99" i="9"/>
  <c r="M100" i="9"/>
  <c r="L100" i="9"/>
  <c r="J99" i="9"/>
  <c r="G100" i="9"/>
  <c r="C101" i="9" s="1"/>
  <c r="I100" i="9" l="1"/>
  <c r="J100" i="9"/>
  <c r="F166" i="9"/>
  <c r="E101" i="9"/>
  <c r="D170" i="9"/>
  <c r="M101" i="9" l="1"/>
  <c r="L101" i="9"/>
  <c r="D171" i="9"/>
  <c r="G101" i="9"/>
  <c r="C102" i="9" s="1"/>
  <c r="F167" i="9"/>
  <c r="I101" i="9" l="1"/>
  <c r="E102" i="9"/>
  <c r="F168" i="9"/>
  <c r="D172" i="9"/>
  <c r="J101" i="9"/>
  <c r="D173" i="9" l="1"/>
  <c r="M102" i="9"/>
  <c r="L102" i="9"/>
  <c r="F169" i="9"/>
  <c r="G102" i="9"/>
  <c r="C103" i="9" s="1"/>
  <c r="I102" i="9" l="1"/>
  <c r="F170" i="9"/>
  <c r="E103" i="9"/>
  <c r="J102" i="9"/>
  <c r="D174" i="9"/>
  <c r="D175" i="9" l="1"/>
  <c r="M103" i="9"/>
  <c r="L103" i="9"/>
  <c r="G103" i="9"/>
  <c r="C104" i="9" s="1"/>
  <c r="F171" i="9"/>
  <c r="I103" i="9" l="1"/>
  <c r="E104" i="9"/>
  <c r="F172" i="9"/>
  <c r="J103" i="9"/>
  <c r="D176" i="9"/>
  <c r="D177" i="9" l="1"/>
  <c r="M104" i="9"/>
  <c r="L104" i="9"/>
  <c r="F173" i="9"/>
  <c r="G104" i="9"/>
  <c r="C105" i="9" s="1"/>
  <c r="I104" i="9" l="1"/>
  <c r="F174" i="9"/>
  <c r="E105" i="9"/>
  <c r="J104" i="9"/>
  <c r="D178" i="9"/>
  <c r="M105" i="9" l="1"/>
  <c r="L105" i="9"/>
  <c r="D179" i="9"/>
  <c r="F175" i="9"/>
  <c r="G105" i="9"/>
  <c r="C106" i="9" s="1"/>
  <c r="I105" i="9" l="1"/>
  <c r="F176" i="9"/>
  <c r="E106" i="9"/>
  <c r="D180" i="9"/>
  <c r="J105" i="9"/>
  <c r="M106" i="9" l="1"/>
  <c r="L106" i="9"/>
  <c r="D181" i="9"/>
  <c r="G106" i="9"/>
  <c r="C107" i="9" s="1"/>
  <c r="F177" i="9"/>
  <c r="F178" i="9" l="1"/>
  <c r="E107" i="9"/>
  <c r="G107" i="9" s="1"/>
  <c r="C108" i="9" s="1"/>
  <c r="D182" i="9"/>
  <c r="I106" i="9"/>
  <c r="R106" i="9"/>
  <c r="L5" i="8" s="1"/>
  <c r="L41" i="8" s="1"/>
  <c r="J106" i="9"/>
  <c r="S106" i="9"/>
  <c r="L6" i="8" s="1"/>
  <c r="E108" i="9" l="1"/>
  <c r="L7" i="8"/>
  <c r="L39" i="11" s="1"/>
  <c r="L43" i="11" s="1"/>
  <c r="D183" i="9"/>
  <c r="M107" i="9"/>
  <c r="L107" i="9"/>
  <c r="F179" i="9"/>
  <c r="I107" i="9" l="1"/>
  <c r="D184" i="9"/>
  <c r="L55" i="8"/>
  <c r="L29" i="8" s="1"/>
  <c r="L24" i="8"/>
  <c r="J107" i="9"/>
  <c r="M108" i="9"/>
  <c r="L108" i="9"/>
  <c r="L42" i="8"/>
  <c r="F180" i="9"/>
  <c r="G108" i="9"/>
  <c r="C109" i="9" s="1"/>
  <c r="L43" i="8" l="1"/>
  <c r="J108" i="9"/>
  <c r="L25" i="8"/>
  <c r="L26" i="8"/>
  <c r="L30" i="8"/>
  <c r="E109" i="9"/>
  <c r="F181" i="9"/>
  <c r="D185" i="9"/>
  <c r="L45" i="8"/>
  <c r="I108" i="9"/>
  <c r="L36" i="8" l="1"/>
  <c r="D186" i="9"/>
  <c r="F182" i="9"/>
  <c r="M109" i="9"/>
  <c r="L109" i="9"/>
  <c r="G109" i="9"/>
  <c r="C110" i="9" s="1"/>
  <c r="L91" i="4"/>
  <c r="L97" i="4" s="1"/>
  <c r="L101" i="4" s="1"/>
  <c r="L31" i="8"/>
  <c r="L32" i="8"/>
  <c r="L92" i="4"/>
  <c r="L37" i="8" l="1"/>
  <c r="L38" i="8"/>
  <c r="E110" i="9"/>
  <c r="I109" i="9"/>
  <c r="J109" i="9"/>
  <c r="F183" i="9"/>
  <c r="D187" i="9"/>
  <c r="F184" i="9" l="1"/>
  <c r="M110" i="9"/>
  <c r="L110" i="9"/>
  <c r="D188" i="9"/>
  <c r="G110" i="9"/>
  <c r="C111" i="9" s="1"/>
  <c r="J110" i="9" l="1"/>
  <c r="F185" i="9"/>
  <c r="I110" i="9"/>
  <c r="E111" i="9"/>
  <c r="G111" i="9" s="1"/>
  <c r="C112" i="9" s="1"/>
  <c r="D189" i="9"/>
  <c r="E112" i="9" l="1"/>
  <c r="F186" i="9"/>
  <c r="M111" i="9"/>
  <c r="L111" i="9"/>
  <c r="D190" i="9"/>
  <c r="D191" i="9" l="1"/>
  <c r="J111" i="9"/>
  <c r="M112" i="9"/>
  <c r="L112" i="9"/>
  <c r="I111" i="9"/>
  <c r="F187" i="9"/>
  <c r="G112" i="9"/>
  <c r="C113" i="9" s="1"/>
  <c r="I112" i="9" l="1"/>
  <c r="J112" i="9"/>
  <c r="D192" i="9"/>
  <c r="E113" i="9"/>
  <c r="F188" i="9"/>
  <c r="M113" i="9" l="1"/>
  <c r="L113" i="9"/>
  <c r="F189" i="9"/>
  <c r="D193" i="9"/>
  <c r="G113" i="9"/>
  <c r="C114" i="9" s="1"/>
  <c r="J113" i="9" l="1"/>
  <c r="E114" i="9"/>
  <c r="F190" i="9"/>
  <c r="D194" i="9"/>
  <c r="I113" i="9"/>
  <c r="F191" i="9" l="1"/>
  <c r="M114" i="9"/>
  <c r="L114" i="9"/>
  <c r="D195" i="9"/>
  <c r="G114" i="9"/>
  <c r="C115" i="9" s="1"/>
  <c r="I114" i="9" l="1"/>
  <c r="D196" i="9"/>
  <c r="E115" i="9"/>
  <c r="J114" i="9"/>
  <c r="F192" i="9"/>
  <c r="F193" i="9" l="1"/>
  <c r="D197" i="9"/>
  <c r="M115" i="9"/>
  <c r="L115" i="9"/>
  <c r="G115" i="9"/>
  <c r="C116" i="9" s="1"/>
  <c r="I115" i="9" l="1"/>
  <c r="E116" i="9"/>
  <c r="D198" i="9"/>
  <c r="F194" i="9"/>
  <c r="J115" i="9"/>
  <c r="D199" i="9" l="1"/>
  <c r="F195" i="9"/>
  <c r="M116" i="9"/>
  <c r="L116" i="9"/>
  <c r="G116" i="9"/>
  <c r="C117" i="9" s="1"/>
  <c r="I116" i="9" l="1"/>
  <c r="J116" i="9"/>
  <c r="E117" i="9"/>
  <c r="F196" i="9"/>
  <c r="D200" i="9"/>
  <c r="D201" i="9" l="1"/>
  <c r="M117" i="9"/>
  <c r="L117" i="9"/>
  <c r="F197" i="9"/>
  <c r="G117" i="9"/>
  <c r="C118" i="9" s="1"/>
  <c r="I117" i="9" l="1"/>
  <c r="E118" i="9"/>
  <c r="F198" i="9"/>
  <c r="J117" i="9"/>
  <c r="D202" i="9"/>
  <c r="M118" i="9" l="1"/>
  <c r="L118" i="9"/>
  <c r="D203" i="9"/>
  <c r="F199" i="9"/>
  <c r="G118" i="9"/>
  <c r="C119" i="9" s="1"/>
  <c r="E119" i="9" l="1"/>
  <c r="F200" i="9"/>
  <c r="I118" i="9"/>
  <c r="R118" i="9"/>
  <c r="M5" i="8" s="1"/>
  <c r="M41" i="8" s="1"/>
  <c r="D204" i="9"/>
  <c r="J118" i="9"/>
  <c r="S118" i="9"/>
  <c r="M6" i="8" s="1"/>
  <c r="M7" i="8" l="1"/>
  <c r="M39" i="11" s="1"/>
  <c r="M43" i="11" s="1"/>
  <c r="F201" i="9"/>
  <c r="D205" i="9"/>
  <c r="M119" i="9"/>
  <c r="L119" i="9"/>
  <c r="G119" i="9"/>
  <c r="C120" i="9" s="1"/>
  <c r="D206" i="9" l="1"/>
  <c r="J119" i="9"/>
  <c r="F202" i="9"/>
  <c r="I119" i="9"/>
  <c r="M42" i="8"/>
  <c r="E120" i="9"/>
  <c r="G120" i="9" s="1"/>
  <c r="C121" i="9" s="1"/>
  <c r="M55" i="8"/>
  <c r="M29" i="8" s="1"/>
  <c r="M24" i="8"/>
  <c r="M43" i="8" l="1"/>
  <c r="F203" i="9"/>
  <c r="M120" i="9"/>
  <c r="L120" i="9"/>
  <c r="M25" i="8"/>
  <c r="M26" i="8"/>
  <c r="M30" i="8"/>
  <c r="D207" i="9"/>
  <c r="E121" i="9"/>
  <c r="M45" i="8"/>
  <c r="M36" i="8" l="1"/>
  <c r="M92" i="4"/>
  <c r="M91" i="4"/>
  <c r="M97" i="4" s="1"/>
  <c r="M101" i="4" s="1"/>
  <c r="M31" i="8"/>
  <c r="M32" i="8"/>
  <c r="I120" i="9"/>
  <c r="J120" i="9"/>
  <c r="M121" i="9"/>
  <c r="L121" i="9"/>
  <c r="G121" i="9"/>
  <c r="C122" i="9" s="1"/>
  <c r="D208" i="9"/>
  <c r="F204" i="9"/>
  <c r="M38" i="8" l="1"/>
  <c r="M37" i="8"/>
  <c r="I121" i="9"/>
  <c r="E122" i="9"/>
  <c r="J121" i="9"/>
  <c r="F205" i="9"/>
  <c r="D209" i="9"/>
  <c r="D210" i="9" l="1"/>
  <c r="F206" i="9"/>
  <c r="M122" i="9"/>
  <c r="L122" i="9"/>
  <c r="G122" i="9"/>
  <c r="C123" i="9" s="1"/>
  <c r="J122" i="9" l="1"/>
  <c r="F207" i="9"/>
  <c r="D211" i="9"/>
  <c r="I122" i="9"/>
  <c r="E123" i="9"/>
  <c r="D212" i="9" l="1"/>
  <c r="F208" i="9"/>
  <c r="M123" i="9"/>
  <c r="L123" i="9"/>
  <c r="G123" i="9"/>
  <c r="C124" i="9" s="1"/>
  <c r="I123" i="9" l="1"/>
  <c r="D213" i="9"/>
  <c r="E124" i="9"/>
  <c r="J123" i="9"/>
  <c r="F209" i="9"/>
  <c r="M124" i="9" l="1"/>
  <c r="L124" i="9"/>
  <c r="G124" i="9"/>
  <c r="C125" i="9" s="1"/>
  <c r="D214" i="9"/>
  <c r="F210" i="9"/>
  <c r="I124" i="9" l="1"/>
  <c r="E125" i="9"/>
  <c r="F211" i="9"/>
  <c r="D215" i="9"/>
  <c r="J124" i="9"/>
  <c r="M125" i="9" l="1"/>
  <c r="L125" i="9"/>
  <c r="D216" i="9"/>
  <c r="F212" i="9"/>
  <c r="G125" i="9"/>
  <c r="C126" i="9" s="1"/>
  <c r="D217" i="9" l="1"/>
  <c r="I125" i="9"/>
  <c r="E126" i="9"/>
  <c r="F213" i="9"/>
  <c r="J125" i="9"/>
  <c r="M126" i="9" l="1"/>
  <c r="L126" i="9"/>
  <c r="F214" i="9"/>
  <c r="D218" i="9"/>
  <c r="G126" i="9"/>
  <c r="C127" i="9" s="1"/>
  <c r="I126" i="9" l="1"/>
  <c r="D219" i="9"/>
  <c r="E127" i="9"/>
  <c r="F215" i="9"/>
  <c r="J126" i="9"/>
  <c r="M127" i="9" l="1"/>
  <c r="L127" i="9"/>
  <c r="D220" i="9"/>
  <c r="F216" i="9"/>
  <c r="G127" i="9"/>
  <c r="C128" i="9" s="1"/>
  <c r="I127" i="9" l="1"/>
  <c r="F217" i="9"/>
  <c r="E128" i="9"/>
  <c r="D221" i="9"/>
  <c r="J127" i="9"/>
  <c r="M128" i="9" l="1"/>
  <c r="L128" i="9"/>
  <c r="D222" i="9"/>
  <c r="G128" i="9"/>
  <c r="C129" i="9" s="1"/>
  <c r="F218" i="9"/>
  <c r="I128" i="9" l="1"/>
  <c r="F219" i="9"/>
  <c r="E129" i="9"/>
  <c r="D223" i="9"/>
  <c r="J128" i="9"/>
  <c r="M129" i="9" l="1"/>
  <c r="L129" i="9"/>
  <c r="F220" i="9"/>
  <c r="D224" i="9"/>
  <c r="G129" i="9"/>
  <c r="C130" i="9" s="1"/>
  <c r="I129" i="9" l="1"/>
  <c r="E130" i="9"/>
  <c r="D225" i="9"/>
  <c r="F221" i="9"/>
  <c r="J129" i="9"/>
  <c r="F222" i="9" l="1"/>
  <c r="M130" i="9"/>
  <c r="L130" i="9"/>
  <c r="D226" i="9"/>
  <c r="G130" i="9"/>
  <c r="C131" i="9" s="1"/>
  <c r="I130" i="9" l="1"/>
  <c r="R130" i="9"/>
  <c r="F223" i="9"/>
  <c r="E131" i="9"/>
  <c r="D227" i="9"/>
  <c r="J130" i="9"/>
  <c r="S130" i="9"/>
  <c r="D228" i="9" l="1"/>
  <c r="F224" i="9"/>
  <c r="M131" i="9"/>
  <c r="L131" i="9"/>
  <c r="G131" i="9"/>
  <c r="C132" i="9" s="1"/>
  <c r="N6" i="8"/>
  <c r="N5" i="8"/>
  <c r="N41" i="8" s="1"/>
  <c r="E132" i="9" l="1"/>
  <c r="I131" i="9"/>
  <c r="J131" i="9"/>
  <c r="N7" i="8"/>
  <c r="N39" i="11" s="1"/>
  <c r="N43" i="11" s="1"/>
  <c r="F225" i="9"/>
  <c r="D229" i="9"/>
  <c r="N55" i="8" l="1"/>
  <c r="N29" i="8" s="1"/>
  <c r="N24" i="8"/>
  <c r="D230" i="9"/>
  <c r="F226" i="9"/>
  <c r="M132" i="9"/>
  <c r="L132" i="9"/>
  <c r="N42" i="8"/>
  <c r="G132" i="9"/>
  <c r="C133" i="9" s="1"/>
  <c r="N43" i="8" l="1"/>
  <c r="I132" i="9"/>
  <c r="F227" i="9"/>
  <c r="E133" i="9"/>
  <c r="D231" i="9"/>
  <c r="N26" i="8"/>
  <c r="N25" i="8"/>
  <c r="N30" i="8"/>
  <c r="J132" i="9"/>
  <c r="N45" i="8"/>
  <c r="N36" i="8" l="1"/>
  <c r="M133" i="9"/>
  <c r="L133" i="9"/>
  <c r="G133" i="9"/>
  <c r="C134" i="9" s="1"/>
  <c r="F228" i="9"/>
  <c r="N91" i="4"/>
  <c r="N97" i="4" s="1"/>
  <c r="N101" i="4" s="1"/>
  <c r="N32" i="8"/>
  <c r="N31" i="8"/>
  <c r="N92" i="4"/>
  <c r="D232" i="9"/>
  <c r="N38" i="8" l="1"/>
  <c r="N37" i="8"/>
  <c r="F229" i="9"/>
  <c r="E134" i="9"/>
  <c r="I133" i="9"/>
  <c r="D233" i="9"/>
  <c r="J133" i="9"/>
  <c r="M134" i="9" l="1"/>
  <c r="L134" i="9"/>
  <c r="G134" i="9"/>
  <c r="C135" i="9" s="1"/>
  <c r="F230" i="9"/>
  <c r="D234" i="9"/>
  <c r="F231" i="9" l="1"/>
  <c r="I134" i="9"/>
  <c r="D235" i="9"/>
  <c r="E135" i="9"/>
  <c r="J134" i="9"/>
  <c r="D236" i="9" l="1"/>
  <c r="M135" i="9"/>
  <c r="L135" i="9"/>
  <c r="G135" i="9"/>
  <c r="C136" i="9" s="1"/>
  <c r="F232" i="9"/>
  <c r="I135" i="9" l="1"/>
  <c r="F233" i="9"/>
  <c r="E136" i="9"/>
  <c r="J135" i="9"/>
  <c r="D237" i="9"/>
  <c r="M136" i="9" l="1"/>
  <c r="L136" i="9"/>
  <c r="G136" i="9"/>
  <c r="C137" i="9" s="1"/>
  <c r="F234" i="9"/>
  <c r="D238" i="9"/>
  <c r="I136" i="9" l="1"/>
  <c r="E137" i="9"/>
  <c r="F235" i="9"/>
  <c r="D239" i="9"/>
  <c r="J136" i="9"/>
  <c r="D240" i="9" l="1"/>
  <c r="M137" i="9"/>
  <c r="L137" i="9"/>
  <c r="F236" i="9"/>
  <c r="G137" i="9"/>
  <c r="C138" i="9" s="1"/>
  <c r="I137" i="9" l="1"/>
  <c r="E138" i="9"/>
  <c r="F237" i="9"/>
  <c r="J137" i="9"/>
  <c r="D241" i="9"/>
  <c r="M138" i="9" l="1"/>
  <c r="L138" i="9"/>
  <c r="D242" i="9"/>
  <c r="F238" i="9"/>
  <c r="G138" i="9"/>
  <c r="C139" i="9" s="1"/>
  <c r="I138" i="9" l="1"/>
  <c r="E139" i="9"/>
  <c r="D243" i="9"/>
  <c r="F239" i="9"/>
  <c r="J138" i="9"/>
  <c r="M139" i="9" l="1"/>
  <c r="L139" i="9"/>
  <c r="F240" i="9"/>
  <c r="D244" i="9"/>
  <c r="G139" i="9"/>
  <c r="C140" i="9" s="1"/>
  <c r="I139" i="9" l="1"/>
  <c r="E140" i="9"/>
  <c r="D245" i="9"/>
  <c r="F241" i="9"/>
  <c r="J139" i="9"/>
  <c r="D246" i="9" l="1"/>
  <c r="M140" i="9"/>
  <c r="L140" i="9"/>
  <c r="F242" i="9"/>
  <c r="G140" i="9"/>
  <c r="C141" i="9" s="1"/>
  <c r="I140" i="9" l="1"/>
  <c r="E141" i="9"/>
  <c r="F243" i="9"/>
  <c r="J140" i="9"/>
  <c r="D247" i="9"/>
  <c r="D248" i="9" l="1"/>
  <c r="M141" i="9"/>
  <c r="L141" i="9"/>
  <c r="F244" i="9"/>
  <c r="G141" i="9"/>
  <c r="C142" i="9" s="1"/>
  <c r="J141" i="9" l="1"/>
  <c r="E142" i="9"/>
  <c r="F245" i="9"/>
  <c r="I141" i="9"/>
  <c r="D249" i="9"/>
  <c r="D250" i="9" l="1"/>
  <c r="D251" i="9" s="1"/>
  <c r="M142" i="9"/>
  <c r="L142" i="9"/>
  <c r="F246" i="9"/>
  <c r="G142" i="9"/>
  <c r="C143" i="9" s="1"/>
  <c r="D252" i="9" l="1"/>
  <c r="I142" i="9"/>
  <c r="R142" i="9"/>
  <c r="E143" i="9"/>
  <c r="G143" i="9" s="1"/>
  <c r="C144" i="9" s="1"/>
  <c r="F247" i="9"/>
  <c r="J142" i="9"/>
  <c r="S142" i="9"/>
  <c r="D253" i="9" l="1"/>
  <c r="E144" i="9"/>
  <c r="O5" i="8"/>
  <c r="O41" i="8" s="1"/>
  <c r="F248" i="9"/>
  <c r="M143" i="9"/>
  <c r="L143" i="9"/>
  <c r="O6" i="8"/>
  <c r="D254" i="9" l="1"/>
  <c r="J143" i="9"/>
  <c r="I143" i="9"/>
  <c r="F249" i="9"/>
  <c r="O7" i="8"/>
  <c r="O39" i="11" s="1"/>
  <c r="O43" i="11" s="1"/>
  <c r="M144" i="9"/>
  <c r="L144" i="9"/>
  <c r="G144" i="9"/>
  <c r="C145" i="9" s="1"/>
  <c r="D255" i="9" l="1"/>
  <c r="J144" i="9"/>
  <c r="I144" i="9"/>
  <c r="O55" i="8"/>
  <c r="O29" i="8" s="1"/>
  <c r="O24" i="8"/>
  <c r="O42" i="8"/>
  <c r="F250" i="9"/>
  <c r="F251" i="9" s="1"/>
  <c r="E145" i="9"/>
  <c r="O43" i="8" l="1"/>
  <c r="F252" i="9"/>
  <c r="D256" i="9"/>
  <c r="M145" i="9"/>
  <c r="L145" i="9"/>
  <c r="G145" i="9"/>
  <c r="C146" i="9" s="1"/>
  <c r="O45" i="8"/>
  <c r="O30" i="8"/>
  <c r="O26" i="8"/>
  <c r="O25" i="8"/>
  <c r="D257" i="9" l="1"/>
  <c r="F253" i="9"/>
  <c r="O36" i="8"/>
  <c r="O91" i="4"/>
  <c r="O97" i="4" s="1"/>
  <c r="O101" i="4" s="1"/>
  <c r="O31" i="8"/>
  <c r="O92" i="4"/>
  <c r="O32" i="8"/>
  <c r="E146" i="9"/>
  <c r="G146" i="9" s="1"/>
  <c r="C147" i="9" s="1"/>
  <c r="I145" i="9"/>
  <c r="J145" i="9"/>
  <c r="O37" i="8" l="1"/>
  <c r="F254" i="9"/>
  <c r="D258" i="9"/>
  <c r="O38" i="8"/>
  <c r="M146" i="9"/>
  <c r="L146" i="9"/>
  <c r="E147" i="9"/>
  <c r="G147" i="9" s="1"/>
  <c r="C148" i="9" s="1"/>
  <c r="D259" i="9" l="1"/>
  <c r="F255" i="9"/>
  <c r="E148" i="9"/>
  <c r="I146" i="9"/>
  <c r="J146" i="9"/>
  <c r="M147" i="9"/>
  <c r="L147" i="9"/>
  <c r="F256" i="9" l="1"/>
  <c r="D260" i="9"/>
  <c r="J147" i="9"/>
  <c r="M148" i="9"/>
  <c r="L148" i="9"/>
  <c r="I147" i="9"/>
  <c r="G148" i="9"/>
  <c r="C149" i="9" s="1"/>
  <c r="D261" i="9" l="1"/>
  <c r="F257" i="9"/>
  <c r="E149" i="9"/>
  <c r="I148" i="9"/>
  <c r="J148" i="9"/>
  <c r="D262" i="9" l="1"/>
  <c r="D263" i="9" s="1"/>
  <c r="F258" i="9"/>
  <c r="M149" i="9"/>
  <c r="L149" i="9"/>
  <c r="G149" i="9"/>
  <c r="C150" i="9" s="1"/>
  <c r="D264" i="9" l="1"/>
  <c r="F259" i="9"/>
  <c r="E150" i="9"/>
  <c r="I149" i="9"/>
  <c r="J149" i="9"/>
  <c r="D265" i="9" l="1"/>
  <c r="F260" i="9"/>
  <c r="M150" i="9"/>
  <c r="L150" i="9"/>
  <c r="G150" i="9"/>
  <c r="C151" i="9" s="1"/>
  <c r="D266" i="9" l="1"/>
  <c r="F261" i="9"/>
  <c r="I150" i="9"/>
  <c r="E151" i="9"/>
  <c r="J150" i="9"/>
  <c r="D267" i="9" l="1"/>
  <c r="F262" i="9"/>
  <c r="F263" i="9" s="1"/>
  <c r="M151" i="9"/>
  <c r="L151" i="9"/>
  <c r="G151" i="9"/>
  <c r="C152" i="9" s="1"/>
  <c r="F264" i="9" l="1"/>
  <c r="D268" i="9"/>
  <c r="I151" i="9"/>
  <c r="E152" i="9"/>
  <c r="J151" i="9"/>
  <c r="D269" i="9" l="1"/>
  <c r="F265" i="9"/>
  <c r="M152" i="9"/>
  <c r="L152" i="9"/>
  <c r="G152" i="9"/>
  <c r="C153" i="9" s="1"/>
  <c r="F266" i="9" l="1"/>
  <c r="D270" i="9"/>
  <c r="I152" i="9"/>
  <c r="E153" i="9"/>
  <c r="J152" i="9"/>
  <c r="F267" i="9" l="1"/>
  <c r="D271" i="9"/>
  <c r="M153" i="9"/>
  <c r="L153" i="9"/>
  <c r="G153" i="9"/>
  <c r="C154" i="9" s="1"/>
  <c r="D272" i="9" l="1"/>
  <c r="F268" i="9"/>
  <c r="I153" i="9"/>
  <c r="E154" i="9"/>
  <c r="J153" i="9"/>
  <c r="D273" i="9" l="1"/>
  <c r="F269" i="9"/>
  <c r="M154" i="9"/>
  <c r="L154" i="9"/>
  <c r="G154" i="9"/>
  <c r="C155" i="9" s="1"/>
  <c r="F270" i="9" l="1"/>
  <c r="D274" i="9"/>
  <c r="I154" i="9"/>
  <c r="R154" i="9"/>
  <c r="E155" i="9"/>
  <c r="J154" i="9"/>
  <c r="S154" i="9"/>
  <c r="D275" i="9" l="1"/>
  <c r="F271" i="9"/>
  <c r="P6" i="8"/>
  <c r="M155" i="9"/>
  <c r="L155" i="9"/>
  <c r="P5" i="8"/>
  <c r="P41" i="8" s="1"/>
  <c r="G155" i="9"/>
  <c r="C156" i="9" s="1"/>
  <c r="F272" i="9" l="1"/>
  <c r="D276" i="9"/>
  <c r="E156" i="9"/>
  <c r="P7" i="8"/>
  <c r="P39" i="11" s="1"/>
  <c r="P43" i="11" s="1"/>
  <c r="I155" i="9"/>
  <c r="J155" i="9"/>
  <c r="D277" i="9" l="1"/>
  <c r="F273" i="9"/>
  <c r="P55" i="8"/>
  <c r="P29" i="8" s="1"/>
  <c r="P24" i="8"/>
  <c r="M156" i="9"/>
  <c r="L156" i="9"/>
  <c r="P42" i="8"/>
  <c r="G156" i="9"/>
  <c r="C157" i="9" s="1"/>
  <c r="P43" i="8" l="1"/>
  <c r="F274" i="9"/>
  <c r="D278" i="9"/>
  <c r="E157" i="9"/>
  <c r="G157" i="9" s="1"/>
  <c r="C158" i="9" s="1"/>
  <c r="P45" i="8"/>
  <c r="J156" i="9"/>
  <c r="I156" i="9"/>
  <c r="P26" i="8"/>
  <c r="P25" i="8"/>
  <c r="P30" i="8"/>
  <c r="P36" i="8" l="1"/>
  <c r="F275" i="9"/>
  <c r="D279" i="9"/>
  <c r="P32" i="8"/>
  <c r="P31" i="8"/>
  <c r="M157" i="9"/>
  <c r="L157" i="9"/>
  <c r="E158" i="9"/>
  <c r="P37" i="8" l="1"/>
  <c r="P38" i="8"/>
  <c r="D280" i="9"/>
  <c r="F276" i="9"/>
  <c r="M158" i="9"/>
  <c r="L158" i="9"/>
  <c r="I157" i="9"/>
  <c r="G158" i="9"/>
  <c r="C159" i="9" s="1"/>
  <c r="J157" i="9"/>
  <c r="F277" i="9" l="1"/>
  <c r="D281" i="9"/>
  <c r="J158" i="9"/>
  <c r="E159" i="9"/>
  <c r="I158" i="9"/>
  <c r="F278" i="9" l="1"/>
  <c r="D282" i="9"/>
  <c r="M159" i="9"/>
  <c r="L159" i="9"/>
  <c r="G159" i="9"/>
  <c r="C160" i="9" s="1"/>
  <c r="D283" i="9" l="1"/>
  <c r="F279" i="9"/>
  <c r="I159" i="9"/>
  <c r="E160" i="9"/>
  <c r="J159" i="9"/>
  <c r="D284" i="9" l="1"/>
  <c r="F280" i="9"/>
  <c r="M160" i="9"/>
  <c r="L160" i="9"/>
  <c r="G160" i="9"/>
  <c r="C161" i="9" s="1"/>
  <c r="F281" i="9" l="1"/>
  <c r="D285" i="9"/>
  <c r="I160" i="9"/>
  <c r="E161" i="9"/>
  <c r="J160" i="9"/>
  <c r="D286" i="9" l="1"/>
  <c r="F282" i="9"/>
  <c r="M161" i="9"/>
  <c r="L161" i="9"/>
  <c r="G161" i="9"/>
  <c r="C162" i="9" s="1"/>
  <c r="F283" i="9" l="1"/>
  <c r="D287" i="9"/>
  <c r="I161" i="9"/>
  <c r="E162" i="9"/>
  <c r="J161" i="9"/>
  <c r="D288" i="9" l="1"/>
  <c r="F284" i="9"/>
  <c r="M162" i="9"/>
  <c r="L162" i="9"/>
  <c r="G162" i="9"/>
  <c r="C163" i="9" s="1"/>
  <c r="D289" i="9" l="1"/>
  <c r="F285" i="9"/>
  <c r="I162" i="9"/>
  <c r="E163" i="9"/>
  <c r="J162" i="9"/>
  <c r="D290" i="9" l="1"/>
  <c r="F286" i="9"/>
  <c r="M163" i="9"/>
  <c r="L163" i="9"/>
  <c r="G163" i="9"/>
  <c r="C164" i="9" s="1"/>
  <c r="D291" i="9" l="1"/>
  <c r="F287" i="9"/>
  <c r="I163" i="9"/>
  <c r="E164" i="9"/>
  <c r="J163" i="9"/>
  <c r="F288" i="9" l="1"/>
  <c r="D292" i="9"/>
  <c r="M164" i="9"/>
  <c r="L164" i="9"/>
  <c r="G164" i="9"/>
  <c r="C165" i="9" s="1"/>
  <c r="F289" i="9" l="1"/>
  <c r="D293" i="9"/>
  <c r="I164" i="9"/>
  <c r="E165" i="9"/>
  <c r="J164" i="9"/>
  <c r="F290" i="9" l="1"/>
  <c r="D294" i="9"/>
  <c r="M165" i="9"/>
  <c r="L165" i="9"/>
  <c r="G165" i="9"/>
  <c r="C166" i="9" s="1"/>
  <c r="D295" i="9" l="1"/>
  <c r="F291" i="9"/>
  <c r="I165" i="9"/>
  <c r="E166" i="9"/>
  <c r="J165" i="9"/>
  <c r="F292" i="9" l="1"/>
  <c r="D296" i="9"/>
  <c r="M166" i="9"/>
  <c r="L166" i="9"/>
  <c r="G166" i="9"/>
  <c r="C167" i="9" s="1"/>
  <c r="D297" i="9" l="1"/>
  <c r="F293" i="9"/>
  <c r="E167" i="9"/>
  <c r="I166" i="9"/>
  <c r="R166" i="9"/>
  <c r="J166" i="9"/>
  <c r="S166" i="9"/>
  <c r="D298" i="9" l="1"/>
  <c r="F294" i="9"/>
  <c r="Q5" i="8"/>
  <c r="Q41" i="8" s="1"/>
  <c r="Q6" i="8"/>
  <c r="M167" i="9"/>
  <c r="L167" i="9"/>
  <c r="G167" i="9"/>
  <c r="C168" i="9" s="1"/>
  <c r="F295" i="9" l="1"/>
  <c r="D299" i="9"/>
  <c r="E168" i="9"/>
  <c r="I167" i="9"/>
  <c r="J167" i="9"/>
  <c r="Q7" i="8"/>
  <c r="Q39" i="11" s="1"/>
  <c r="Q43" i="11" s="1"/>
  <c r="D300" i="9" l="1"/>
  <c r="F296" i="9"/>
  <c r="Q55" i="8"/>
  <c r="Q29" i="8" s="1"/>
  <c r="Q24" i="8"/>
  <c r="M168" i="9"/>
  <c r="L168" i="9"/>
  <c r="Q42" i="8"/>
  <c r="G168" i="9"/>
  <c r="C169" i="9" s="1"/>
  <c r="Q43" i="8" l="1"/>
  <c r="F297" i="9"/>
  <c r="D301" i="9"/>
  <c r="Q45" i="8"/>
  <c r="J168" i="9"/>
  <c r="E169" i="9"/>
  <c r="I168" i="9"/>
  <c r="Q25" i="8"/>
  <c r="Q26" i="8"/>
  <c r="Q30" i="8"/>
  <c r="Q36" i="8" l="1"/>
  <c r="D302" i="9"/>
  <c r="F298" i="9"/>
  <c r="M169" i="9"/>
  <c r="L169" i="9"/>
  <c r="Q31" i="8"/>
  <c r="Q32" i="8"/>
  <c r="G169" i="9"/>
  <c r="C170" i="9" s="1"/>
  <c r="Q37" i="8" l="1"/>
  <c r="Q38" i="8"/>
  <c r="F299" i="9"/>
  <c r="D303" i="9"/>
  <c r="I169" i="9"/>
  <c r="E170" i="9"/>
  <c r="J169" i="9"/>
  <c r="D304" i="9" l="1"/>
  <c r="F300" i="9"/>
  <c r="M170" i="9"/>
  <c r="L170" i="9"/>
  <c r="G170" i="9"/>
  <c r="C171" i="9" s="1"/>
  <c r="F301" i="9" l="1"/>
  <c r="D305" i="9"/>
  <c r="E171" i="9"/>
  <c r="I170" i="9"/>
  <c r="J170" i="9"/>
  <c r="D306" i="9" l="1"/>
  <c r="F302" i="9"/>
  <c r="M171" i="9"/>
  <c r="L171" i="9"/>
  <c r="G171" i="9"/>
  <c r="C172" i="9" s="1"/>
  <c r="D307" i="9" l="1"/>
  <c r="F303" i="9"/>
  <c r="I171" i="9"/>
  <c r="E172" i="9"/>
  <c r="J171" i="9"/>
  <c r="F304" i="9" l="1"/>
  <c r="D308" i="9"/>
  <c r="M172" i="9"/>
  <c r="L172" i="9"/>
  <c r="G172" i="9"/>
  <c r="C173" i="9" s="1"/>
  <c r="D309" i="9" l="1"/>
  <c r="F305" i="9"/>
  <c r="I172" i="9"/>
  <c r="E173" i="9"/>
  <c r="J172" i="9"/>
  <c r="F306" i="9" l="1"/>
  <c r="D310" i="9"/>
  <c r="M173" i="9"/>
  <c r="L173" i="9"/>
  <c r="G173" i="9"/>
  <c r="C174" i="9" s="1"/>
  <c r="D311" i="9" l="1"/>
  <c r="F307" i="9"/>
  <c r="I173" i="9"/>
  <c r="E174" i="9"/>
  <c r="J173" i="9"/>
  <c r="F308" i="9" l="1"/>
  <c r="D312" i="9"/>
  <c r="M174" i="9"/>
  <c r="L174" i="9"/>
  <c r="G174" i="9"/>
  <c r="C175" i="9" s="1"/>
  <c r="D313" i="9" l="1"/>
  <c r="F309" i="9"/>
  <c r="I174" i="9"/>
  <c r="E175" i="9"/>
  <c r="J174" i="9"/>
  <c r="F310" i="9" l="1"/>
  <c r="D314" i="9"/>
  <c r="M175" i="9"/>
  <c r="L175" i="9"/>
  <c r="G175" i="9"/>
  <c r="C176" i="9" s="1"/>
  <c r="D315" i="9" l="1"/>
  <c r="F311" i="9"/>
  <c r="I175" i="9"/>
  <c r="E176" i="9"/>
  <c r="J175" i="9"/>
  <c r="F312" i="9" l="1"/>
  <c r="D316" i="9"/>
  <c r="M176" i="9"/>
  <c r="L176" i="9"/>
  <c r="G176" i="9"/>
  <c r="C177" i="9" s="1"/>
  <c r="D317" i="9" l="1"/>
  <c r="F313" i="9"/>
  <c r="I176" i="9"/>
  <c r="E177" i="9"/>
  <c r="J176" i="9"/>
  <c r="D318" i="9" l="1"/>
  <c r="F314" i="9"/>
  <c r="M177" i="9"/>
  <c r="L177" i="9"/>
  <c r="G177" i="9"/>
  <c r="C178" i="9" s="1"/>
  <c r="F315" i="9" l="1"/>
  <c r="D319" i="9"/>
  <c r="I177" i="9"/>
  <c r="E178" i="9"/>
  <c r="J177" i="9"/>
  <c r="F316" i="9" l="1"/>
  <c r="D320" i="9"/>
  <c r="M178" i="9"/>
  <c r="L178" i="9"/>
  <c r="G178" i="9"/>
  <c r="C179" i="9" s="1"/>
  <c r="D321" i="9" l="1"/>
  <c r="F317" i="9"/>
  <c r="E179" i="9"/>
  <c r="I178" i="9"/>
  <c r="R178" i="9"/>
  <c r="J178" i="9"/>
  <c r="S178" i="9"/>
  <c r="D322" i="9" l="1"/>
  <c r="F318" i="9"/>
  <c r="R5" i="8"/>
  <c r="R41" i="8" s="1"/>
  <c r="R6" i="8"/>
  <c r="M179" i="9"/>
  <c r="L179" i="9"/>
  <c r="G179" i="9"/>
  <c r="C180" i="9" s="1"/>
  <c r="F319" i="9" l="1"/>
  <c r="D323" i="9"/>
  <c r="E180" i="9"/>
  <c r="I179" i="9"/>
  <c r="J179" i="9"/>
  <c r="R7" i="8"/>
  <c r="R39" i="11" s="1"/>
  <c r="R43" i="11" s="1"/>
  <c r="D324" i="9" l="1"/>
  <c r="F320" i="9"/>
  <c r="R55" i="8"/>
  <c r="R29" i="8" s="1"/>
  <c r="R24" i="8"/>
  <c r="R42" i="8"/>
  <c r="M180" i="9"/>
  <c r="L180" i="9"/>
  <c r="G180" i="9"/>
  <c r="C181" i="9" s="1"/>
  <c r="R43" i="8" l="1"/>
  <c r="F321" i="9"/>
  <c r="D325" i="9"/>
  <c r="J180" i="9"/>
  <c r="I180" i="9"/>
  <c r="E181" i="9"/>
  <c r="G181" i="9" s="1"/>
  <c r="C182" i="9" s="1"/>
  <c r="R45" i="8"/>
  <c r="R26" i="8"/>
  <c r="R25" i="8"/>
  <c r="R30" i="8"/>
  <c r="R36" i="8" l="1"/>
  <c r="D326" i="9"/>
  <c r="F322" i="9"/>
  <c r="E182" i="9"/>
  <c r="R92" i="4"/>
  <c r="R32" i="8"/>
  <c r="R31" i="8"/>
  <c r="R91" i="4"/>
  <c r="R97" i="4" s="1"/>
  <c r="R101" i="4" s="1"/>
  <c r="M181" i="9"/>
  <c r="L181" i="9"/>
  <c r="R37" i="8" l="1"/>
  <c r="R38" i="8"/>
  <c r="F323" i="9"/>
  <c r="D327" i="9"/>
  <c r="J181" i="9"/>
  <c r="M182" i="9"/>
  <c r="L182" i="9"/>
  <c r="I181" i="9"/>
  <c r="G182" i="9"/>
  <c r="C183" i="9" s="1"/>
  <c r="D328" i="9" l="1"/>
  <c r="F324" i="9"/>
  <c r="I182" i="9"/>
  <c r="E183" i="9"/>
  <c r="J182" i="9"/>
  <c r="F325" i="9" l="1"/>
  <c r="D329" i="9"/>
  <c r="M183" i="9"/>
  <c r="L183" i="9"/>
  <c r="G183" i="9"/>
  <c r="C184" i="9" s="1"/>
  <c r="D330" i="9" l="1"/>
  <c r="F326" i="9"/>
  <c r="I183" i="9"/>
  <c r="E184" i="9"/>
  <c r="J183" i="9"/>
  <c r="F327" i="9" l="1"/>
  <c r="D331" i="9"/>
  <c r="M184" i="9"/>
  <c r="L184" i="9"/>
  <c r="G184" i="9"/>
  <c r="C185" i="9" s="1"/>
  <c r="D332" i="9" l="1"/>
  <c r="F328" i="9"/>
  <c r="E185" i="9"/>
  <c r="I184" i="9"/>
  <c r="J184" i="9"/>
  <c r="F329" i="9" l="1"/>
  <c r="D333" i="9"/>
  <c r="M185" i="9"/>
  <c r="L185" i="9"/>
  <c r="G185" i="9"/>
  <c r="C186" i="9" s="1"/>
  <c r="F330" i="9" l="1"/>
  <c r="D334" i="9"/>
  <c r="I185" i="9"/>
  <c r="E186" i="9"/>
  <c r="J185" i="9"/>
  <c r="D335" i="9" l="1"/>
  <c r="F331" i="9"/>
  <c r="M186" i="9"/>
  <c r="L186" i="9"/>
  <c r="G186" i="9"/>
  <c r="C187" i="9" s="1"/>
  <c r="D336" i="9" l="1"/>
  <c r="F332" i="9"/>
  <c r="I186" i="9"/>
  <c r="E187" i="9"/>
  <c r="J186" i="9"/>
  <c r="F333" i="9" l="1"/>
  <c r="D337" i="9"/>
  <c r="M187" i="9"/>
  <c r="L187" i="9"/>
  <c r="G187" i="9"/>
  <c r="C188" i="9" s="1"/>
  <c r="D338" i="9" l="1"/>
  <c r="F334" i="9"/>
  <c r="I187" i="9"/>
  <c r="E188" i="9"/>
  <c r="J187" i="9"/>
  <c r="D339" i="9" l="1"/>
  <c r="F335" i="9"/>
  <c r="M188" i="9"/>
  <c r="L188" i="9"/>
  <c r="G188" i="9"/>
  <c r="C189" i="9" s="1"/>
  <c r="D340" i="9" l="1"/>
  <c r="F336" i="9"/>
  <c r="I188" i="9"/>
  <c r="E189" i="9"/>
  <c r="J188" i="9"/>
  <c r="F337" i="9" l="1"/>
  <c r="D341" i="9"/>
  <c r="M189" i="9"/>
  <c r="L189" i="9"/>
  <c r="G189" i="9"/>
  <c r="C190" i="9" s="1"/>
  <c r="F338" i="9" l="1"/>
  <c r="D342" i="9"/>
  <c r="I189" i="9"/>
  <c r="E190" i="9"/>
  <c r="J189" i="9"/>
  <c r="D343" i="9" l="1"/>
  <c r="F339" i="9"/>
  <c r="M190" i="9"/>
  <c r="L190" i="9"/>
  <c r="G190" i="9"/>
  <c r="C191" i="9" s="1"/>
  <c r="F340" i="9" l="1"/>
  <c r="D344" i="9"/>
  <c r="I190" i="9"/>
  <c r="R190" i="9"/>
  <c r="S5" i="8" s="1"/>
  <c r="S41" i="8" s="1"/>
  <c r="E191" i="9"/>
  <c r="J190" i="9"/>
  <c r="S190" i="9"/>
  <c r="S6" i="8" s="1"/>
  <c r="D345" i="9" l="1"/>
  <c r="F341" i="9"/>
  <c r="M191" i="9"/>
  <c r="L191" i="9"/>
  <c r="S7" i="8"/>
  <c r="S39" i="11" s="1"/>
  <c r="S43" i="11" s="1"/>
  <c r="G191" i="9"/>
  <c r="C192" i="9" s="1"/>
  <c r="F342" i="9" l="1"/>
  <c r="D346" i="9"/>
  <c r="S55" i="8"/>
  <c r="S29" i="8" s="1"/>
  <c r="S24" i="8"/>
  <c r="E192" i="9"/>
  <c r="I191" i="9"/>
  <c r="S42" i="8"/>
  <c r="J191" i="9"/>
  <c r="S43" i="8" l="1"/>
  <c r="D347" i="9"/>
  <c r="F343" i="9"/>
  <c r="S45" i="8"/>
  <c r="M192" i="9"/>
  <c r="L192" i="9"/>
  <c r="G192" i="9"/>
  <c r="C193" i="9" s="1"/>
  <c r="S25" i="8"/>
  <c r="S26" i="8"/>
  <c r="S30" i="8"/>
  <c r="S36" i="8" l="1"/>
  <c r="F344" i="9"/>
  <c r="D348" i="9"/>
  <c r="E193" i="9"/>
  <c r="J192" i="9"/>
  <c r="S31" i="8"/>
  <c r="S32" i="8"/>
  <c r="I192" i="9"/>
  <c r="S37" i="8" l="1"/>
  <c r="S38" i="8"/>
  <c r="D349" i="9"/>
  <c r="F345" i="9"/>
  <c r="M193" i="9"/>
  <c r="L193" i="9"/>
  <c r="G193" i="9"/>
  <c r="C194" i="9" s="1"/>
  <c r="F346" i="9" l="1"/>
  <c r="D350" i="9"/>
  <c r="J193" i="9"/>
  <c r="E194" i="9"/>
  <c r="G194" i="9" s="1"/>
  <c r="C195" i="9" s="1"/>
  <c r="I193" i="9"/>
  <c r="D351" i="9" l="1"/>
  <c r="F347" i="9"/>
  <c r="E195" i="9"/>
  <c r="M194" i="9"/>
  <c r="L194" i="9"/>
  <c r="F348" i="9" l="1"/>
  <c r="D352" i="9"/>
  <c r="I194" i="9"/>
  <c r="M195" i="9"/>
  <c r="L195" i="9"/>
  <c r="J194" i="9"/>
  <c r="G195" i="9"/>
  <c r="C196" i="9" s="1"/>
  <c r="D353" i="9" l="1"/>
  <c r="F349" i="9"/>
  <c r="I195" i="9"/>
  <c r="E196" i="9"/>
  <c r="J195" i="9"/>
  <c r="F350" i="9" l="1"/>
  <c r="D354" i="9"/>
  <c r="M196" i="9"/>
  <c r="L196" i="9"/>
  <c r="G196" i="9"/>
  <c r="C197" i="9" s="1"/>
  <c r="D355" i="9" l="1"/>
  <c r="F351" i="9"/>
  <c r="I196" i="9"/>
  <c r="E197" i="9"/>
  <c r="J196" i="9"/>
  <c r="F352" i="9" l="1"/>
  <c r="D356" i="9"/>
  <c r="M197" i="9"/>
  <c r="L197" i="9"/>
  <c r="G197" i="9"/>
  <c r="C198" i="9" s="1"/>
  <c r="F353" i="9" l="1"/>
  <c r="D357" i="9"/>
  <c r="I197" i="9"/>
  <c r="E198" i="9"/>
  <c r="J197" i="9"/>
  <c r="D358" i="9" l="1"/>
  <c r="F354" i="9"/>
  <c r="M198" i="9"/>
  <c r="L198" i="9"/>
  <c r="G198" i="9"/>
  <c r="C199" i="9" s="1"/>
  <c r="F355" i="9" l="1"/>
  <c r="D359" i="9"/>
  <c r="I198" i="9"/>
  <c r="E199" i="9"/>
  <c r="J198" i="9"/>
  <c r="D360" i="9" l="1"/>
  <c r="F356" i="9"/>
  <c r="M199" i="9"/>
  <c r="L199" i="9"/>
  <c r="G199" i="9"/>
  <c r="C200" i="9" s="1"/>
  <c r="F357" i="9" l="1"/>
  <c r="D361" i="9"/>
  <c r="I199" i="9"/>
  <c r="E200" i="9"/>
  <c r="J199" i="9"/>
  <c r="D362" i="9" l="1"/>
  <c r="F358" i="9"/>
  <c r="M200" i="9"/>
  <c r="L200" i="9"/>
  <c r="G200" i="9"/>
  <c r="C201" i="9" s="1"/>
  <c r="F359" i="9" l="1"/>
  <c r="D363" i="9"/>
  <c r="I200" i="9"/>
  <c r="E201" i="9"/>
  <c r="J200" i="9"/>
  <c r="F360" i="9" l="1"/>
  <c r="D364" i="9"/>
  <c r="M201" i="9"/>
  <c r="L201" i="9"/>
  <c r="G201" i="9"/>
  <c r="C202" i="9" s="1"/>
  <c r="F361" i="9" l="1"/>
  <c r="D365" i="9"/>
  <c r="I201" i="9"/>
  <c r="E202" i="9"/>
  <c r="J201" i="9"/>
  <c r="F362" i="9" l="1"/>
  <c r="D366" i="9"/>
  <c r="M202" i="9"/>
  <c r="L202" i="9"/>
  <c r="G202" i="9"/>
  <c r="C203" i="9" s="1"/>
  <c r="F363" i="9" l="1"/>
  <c r="D367" i="9"/>
  <c r="E203" i="9"/>
  <c r="I202" i="9"/>
  <c r="R202" i="9"/>
  <c r="T5" i="8" s="1"/>
  <c r="T41" i="8" s="1"/>
  <c r="J202" i="9"/>
  <c r="S202" i="9"/>
  <c r="T6" i="8" s="1"/>
  <c r="D368" i="9" l="1"/>
  <c r="F364" i="9"/>
  <c r="M203" i="9"/>
  <c r="L203" i="9"/>
  <c r="T7" i="8"/>
  <c r="T39" i="11" s="1"/>
  <c r="T43" i="11" s="1"/>
  <c r="G203" i="9"/>
  <c r="C204" i="9" s="1"/>
  <c r="F365" i="9" l="1"/>
  <c r="D369" i="9"/>
  <c r="E204" i="9"/>
  <c r="G204" i="9" s="1"/>
  <c r="C205" i="9" s="1"/>
  <c r="T55" i="8"/>
  <c r="T29" i="8" s="1"/>
  <c r="T24" i="8"/>
  <c r="I203" i="9"/>
  <c r="T42" i="8"/>
  <c r="J203" i="9"/>
  <c r="T43" i="8" l="1"/>
  <c r="D370" i="9"/>
  <c r="F366" i="9"/>
  <c r="T26" i="8"/>
  <c r="T25" i="8"/>
  <c r="T30" i="8"/>
  <c r="M204" i="9"/>
  <c r="L204" i="9"/>
  <c r="T45" i="8"/>
  <c r="E205" i="9"/>
  <c r="G205" i="9" s="1"/>
  <c r="C206" i="9" s="1"/>
  <c r="T36" i="8" l="1"/>
  <c r="F367" i="9"/>
  <c r="D371" i="9"/>
  <c r="E206" i="9"/>
  <c r="G206" i="9" s="1"/>
  <c r="C207" i="9" s="1"/>
  <c r="I204" i="9"/>
  <c r="T31" i="8"/>
  <c r="T32" i="8"/>
  <c r="S91" i="4"/>
  <c r="S97" i="4" s="1"/>
  <c r="S101" i="4" s="1"/>
  <c r="S92" i="4"/>
  <c r="J204" i="9"/>
  <c r="M205" i="9"/>
  <c r="L205" i="9"/>
  <c r="T37" i="8" l="1"/>
  <c r="T38" i="8"/>
  <c r="D372" i="9"/>
  <c r="F368" i="9"/>
  <c r="I205" i="9"/>
  <c r="J205" i="9"/>
  <c r="M206" i="9"/>
  <c r="L206" i="9"/>
  <c r="E207" i="9"/>
  <c r="F369" i="9" l="1"/>
  <c r="D373" i="9"/>
  <c r="J206" i="9"/>
  <c r="M207" i="9"/>
  <c r="L207" i="9"/>
  <c r="I206" i="9"/>
  <c r="G207" i="9"/>
  <c r="C208" i="9" s="1"/>
  <c r="D374" i="9" l="1"/>
  <c r="F370" i="9"/>
  <c r="J207" i="9"/>
  <c r="E208" i="9"/>
  <c r="I207" i="9"/>
  <c r="F371" i="9" l="1"/>
  <c r="D375" i="9"/>
  <c r="M208" i="9"/>
  <c r="L208" i="9"/>
  <c r="G208" i="9"/>
  <c r="C209" i="9" s="1"/>
  <c r="D376" i="9" l="1"/>
  <c r="F372" i="9"/>
  <c r="I208" i="9"/>
  <c r="E209" i="9"/>
  <c r="J208" i="9"/>
  <c r="D377" i="9" l="1"/>
  <c r="F373" i="9"/>
  <c r="M209" i="9"/>
  <c r="L209" i="9"/>
  <c r="G209" i="9"/>
  <c r="C210" i="9" s="1"/>
  <c r="D378" i="9" l="1"/>
  <c r="F374" i="9"/>
  <c r="I209" i="9"/>
  <c r="E210" i="9"/>
  <c r="J209" i="9"/>
  <c r="D379" i="9" l="1"/>
  <c r="F375" i="9"/>
  <c r="M210" i="9"/>
  <c r="L210" i="9"/>
  <c r="G210" i="9"/>
  <c r="C211" i="9" s="1"/>
  <c r="D380" i="9" l="1"/>
  <c r="F376" i="9"/>
  <c r="I210" i="9"/>
  <c r="J210" i="9"/>
  <c r="E211" i="9"/>
  <c r="D381" i="9" l="1"/>
  <c r="F377" i="9"/>
  <c r="M211" i="9"/>
  <c r="L211" i="9"/>
  <c r="G211" i="9"/>
  <c r="C212" i="9" s="1"/>
  <c r="F378" i="9" l="1"/>
  <c r="D382" i="9"/>
  <c r="I211" i="9"/>
  <c r="E212" i="9"/>
  <c r="J211" i="9"/>
  <c r="F379" i="9" l="1"/>
  <c r="D383" i="9"/>
  <c r="M212" i="9"/>
  <c r="L212" i="9"/>
  <c r="G212" i="9"/>
  <c r="C213" i="9" s="1"/>
  <c r="D384" i="9" l="1"/>
  <c r="F380" i="9"/>
  <c r="I212" i="9"/>
  <c r="E213" i="9"/>
  <c r="J212" i="9"/>
  <c r="D385" i="9" l="1"/>
  <c r="F381" i="9"/>
  <c r="M213" i="9"/>
  <c r="L213" i="9"/>
  <c r="G213" i="9"/>
  <c r="C214" i="9" s="1"/>
  <c r="F382" i="9" l="1"/>
  <c r="D386" i="9"/>
  <c r="I213" i="9"/>
  <c r="E214" i="9"/>
  <c r="J213" i="9"/>
  <c r="D387" i="9" l="1"/>
  <c r="F383" i="9"/>
  <c r="M214" i="9"/>
  <c r="L214" i="9"/>
  <c r="G214" i="9"/>
  <c r="C215" i="9" s="1"/>
  <c r="F384" i="9" l="1"/>
  <c r="D388" i="9"/>
  <c r="E215" i="9"/>
  <c r="I214" i="9"/>
  <c r="R214" i="9"/>
  <c r="U5" i="8" s="1"/>
  <c r="U41" i="8" s="1"/>
  <c r="J214" i="9"/>
  <c r="S214" i="9"/>
  <c r="U6" i="8" s="1"/>
  <c r="D389" i="9" l="1"/>
  <c r="F385" i="9"/>
  <c r="U7" i="8"/>
  <c r="U39" i="11" s="1"/>
  <c r="U43" i="11" s="1"/>
  <c r="M215" i="9"/>
  <c r="L215" i="9"/>
  <c r="G215" i="9"/>
  <c r="C216" i="9" s="1"/>
  <c r="F386" i="9" l="1"/>
  <c r="D390" i="9"/>
  <c r="E216" i="9"/>
  <c r="I215" i="9"/>
  <c r="J215" i="9"/>
  <c r="U42" i="8"/>
  <c r="U55" i="8"/>
  <c r="U29" i="8" s="1"/>
  <c r="U24" i="8"/>
  <c r="U43" i="8" l="1"/>
  <c r="D391" i="9"/>
  <c r="F387" i="9"/>
  <c r="U45" i="8"/>
  <c r="U30" i="8"/>
  <c r="U26" i="8"/>
  <c r="U25" i="8"/>
  <c r="M216" i="9"/>
  <c r="L216" i="9"/>
  <c r="G216" i="9"/>
  <c r="C217" i="9" s="1"/>
  <c r="U36" i="8" l="1"/>
  <c r="F388" i="9"/>
  <c r="D392" i="9"/>
  <c r="E217" i="9"/>
  <c r="U31" i="8"/>
  <c r="U32" i="8"/>
  <c r="T92" i="4"/>
  <c r="T91" i="4"/>
  <c r="T97" i="4" s="1"/>
  <c r="T101" i="4" s="1"/>
  <c r="I216" i="9"/>
  <c r="J216" i="9"/>
  <c r="U37" i="8" l="1"/>
  <c r="U38" i="8"/>
  <c r="D393" i="9"/>
  <c r="F389" i="9"/>
  <c r="M217" i="9"/>
  <c r="L217" i="9"/>
  <c r="G217" i="9"/>
  <c r="C218" i="9" s="1"/>
  <c r="F390" i="9" l="1"/>
  <c r="D394" i="9"/>
  <c r="E218" i="9"/>
  <c r="I217" i="9"/>
  <c r="J217" i="9"/>
  <c r="F391" i="9" l="1"/>
  <c r="D395" i="9"/>
  <c r="M218" i="9"/>
  <c r="L218" i="9"/>
  <c r="G218" i="9"/>
  <c r="C219" i="9" s="1"/>
  <c r="F392" i="9" l="1"/>
  <c r="D396" i="9"/>
  <c r="E219" i="9"/>
  <c r="I218" i="9"/>
  <c r="J218" i="9"/>
  <c r="D397" i="9" l="1"/>
  <c r="F393" i="9"/>
  <c r="M219" i="9"/>
  <c r="L219" i="9"/>
  <c r="G219" i="9"/>
  <c r="C220" i="9" s="1"/>
  <c r="D398" i="9" l="1"/>
  <c r="F394" i="9"/>
  <c r="E220" i="9"/>
  <c r="I219" i="9"/>
  <c r="J219" i="9"/>
  <c r="F395" i="9" l="1"/>
  <c r="D399" i="9"/>
  <c r="M220" i="9"/>
  <c r="L220" i="9"/>
  <c r="G220" i="9"/>
  <c r="C221" i="9" s="1"/>
  <c r="D400" i="9" l="1"/>
  <c r="F396" i="9"/>
  <c r="J220" i="9"/>
  <c r="E221" i="9"/>
  <c r="I220" i="9"/>
  <c r="F397" i="9" l="1"/>
  <c r="D401" i="9"/>
  <c r="M221" i="9"/>
  <c r="L221" i="9"/>
  <c r="G221" i="9"/>
  <c r="C222" i="9" s="1"/>
  <c r="D402" i="9" l="1"/>
  <c r="F398" i="9"/>
  <c r="I221" i="9"/>
  <c r="J221" i="9"/>
  <c r="E222" i="9"/>
  <c r="G222" i="9" s="1"/>
  <c r="C223" i="9" s="1"/>
  <c r="F399" i="9" l="1"/>
  <c r="D403" i="9"/>
  <c r="M222" i="9"/>
  <c r="L222" i="9"/>
  <c r="E223" i="9"/>
  <c r="D404" i="9" l="1"/>
  <c r="F400" i="9"/>
  <c r="J222" i="9"/>
  <c r="M223" i="9"/>
  <c r="L223" i="9"/>
  <c r="G223" i="9"/>
  <c r="C224" i="9" s="1"/>
  <c r="I222" i="9"/>
  <c r="F401" i="9" l="1"/>
  <c r="D405" i="9"/>
  <c r="I223" i="9"/>
  <c r="E224" i="9"/>
  <c r="J223" i="9"/>
  <c r="F402" i="9" l="1"/>
  <c r="D406" i="9"/>
  <c r="M224" i="9"/>
  <c r="L224" i="9"/>
  <c r="G224" i="9"/>
  <c r="C225" i="9" s="1"/>
  <c r="F403" i="9" l="1"/>
  <c r="D407" i="9"/>
  <c r="I224" i="9"/>
  <c r="E225" i="9"/>
  <c r="J224" i="9"/>
  <c r="D408" i="9" l="1"/>
  <c r="F404" i="9"/>
  <c r="M225" i="9"/>
  <c r="L225" i="9"/>
  <c r="G225" i="9"/>
  <c r="C226" i="9" s="1"/>
  <c r="D409" i="9" l="1"/>
  <c r="F405" i="9"/>
  <c r="I225" i="9"/>
  <c r="E226" i="9"/>
  <c r="J225" i="9"/>
  <c r="F406" i="9" l="1"/>
  <c r="D410" i="9"/>
  <c r="M226" i="9"/>
  <c r="L226" i="9"/>
  <c r="G226" i="9"/>
  <c r="C227" i="9" s="1"/>
  <c r="F407" i="9" l="1"/>
  <c r="D411" i="9"/>
  <c r="E227" i="9"/>
  <c r="I226" i="9"/>
  <c r="R226" i="9"/>
  <c r="V5" i="8" s="1"/>
  <c r="V41" i="8" s="1"/>
  <c r="J226" i="9"/>
  <c r="S226" i="9"/>
  <c r="V6" i="8" s="1"/>
  <c r="D412" i="9" l="1"/>
  <c r="F408" i="9"/>
  <c r="V7" i="8"/>
  <c r="V39" i="11" s="1"/>
  <c r="V43" i="11" s="1"/>
  <c r="M227" i="9"/>
  <c r="L227" i="9"/>
  <c r="G227" i="9"/>
  <c r="C228" i="9" s="1"/>
  <c r="F409" i="9" l="1"/>
  <c r="D413" i="9"/>
  <c r="I227" i="9"/>
  <c r="J227" i="9"/>
  <c r="E228" i="9"/>
  <c r="V42" i="8"/>
  <c r="V55" i="8"/>
  <c r="V29" i="8" s="1"/>
  <c r="V24" i="8"/>
  <c r="V43" i="8" l="1"/>
  <c r="D414" i="9"/>
  <c r="F410" i="9"/>
  <c r="V45" i="8"/>
  <c r="M228" i="9"/>
  <c r="L228" i="9"/>
  <c r="G228" i="9"/>
  <c r="C229" i="9" s="1"/>
  <c r="V25" i="8"/>
  <c r="V26" i="8"/>
  <c r="V30" i="8"/>
  <c r="V36" i="8" l="1"/>
  <c r="F411" i="9"/>
  <c r="D415" i="9"/>
  <c r="U92" i="4"/>
  <c r="U91" i="4"/>
  <c r="U97" i="4" s="1"/>
  <c r="U101" i="4" s="1"/>
  <c r="V32" i="8"/>
  <c r="V31" i="8"/>
  <c r="E229" i="9"/>
  <c r="J228" i="9"/>
  <c r="I228" i="9"/>
  <c r="V38" i="8" l="1"/>
  <c r="V37" i="8"/>
  <c r="D416" i="9"/>
  <c r="F412" i="9"/>
  <c r="M229" i="9"/>
  <c r="L229" i="9"/>
  <c r="G229" i="9"/>
  <c r="C230" i="9" s="1"/>
  <c r="D417" i="9" l="1"/>
  <c r="F413" i="9"/>
  <c r="J229" i="9"/>
  <c r="E230" i="9"/>
  <c r="I229" i="9"/>
  <c r="D418" i="9" l="1"/>
  <c r="F414" i="9"/>
  <c r="M230" i="9"/>
  <c r="L230" i="9"/>
  <c r="G230" i="9"/>
  <c r="C231" i="9" s="1"/>
  <c r="F415" i="9" l="1"/>
  <c r="D419" i="9"/>
  <c r="E231" i="9"/>
  <c r="I230" i="9"/>
  <c r="J230" i="9"/>
  <c r="D420" i="9" l="1"/>
  <c r="F416" i="9"/>
  <c r="M231" i="9"/>
  <c r="L231" i="9"/>
  <c r="G231" i="9"/>
  <c r="C232" i="9" s="1"/>
  <c r="F417" i="9" l="1"/>
  <c r="D421" i="9"/>
  <c r="I231" i="9"/>
  <c r="E232" i="9"/>
  <c r="G232" i="9" s="1"/>
  <c r="C233" i="9" s="1"/>
  <c r="J231" i="9"/>
  <c r="D422" i="9" l="1"/>
  <c r="F418" i="9"/>
  <c r="E233" i="9"/>
  <c r="M232" i="9"/>
  <c r="L232" i="9"/>
  <c r="F419" i="9" l="1"/>
  <c r="D423" i="9"/>
  <c r="J232" i="9"/>
  <c r="M233" i="9"/>
  <c r="L233" i="9"/>
  <c r="I232" i="9"/>
  <c r="G233" i="9"/>
  <c r="C234" i="9" s="1"/>
  <c r="D424" i="9" l="1"/>
  <c r="F420" i="9"/>
  <c r="I233" i="9"/>
  <c r="E234" i="9"/>
  <c r="J233" i="9"/>
  <c r="F421" i="9" l="1"/>
  <c r="D425" i="9"/>
  <c r="M234" i="9"/>
  <c r="L234" i="9"/>
  <c r="G234" i="9"/>
  <c r="C235" i="9" s="1"/>
  <c r="F422" i="9" l="1"/>
  <c r="D426" i="9"/>
  <c r="I234" i="9"/>
  <c r="E235" i="9"/>
  <c r="J234" i="9"/>
  <c r="D427" i="9" l="1"/>
  <c r="F423" i="9"/>
  <c r="M235" i="9"/>
  <c r="L235" i="9"/>
  <c r="G235" i="9"/>
  <c r="C236" i="9" s="1"/>
  <c r="D428" i="9" l="1"/>
  <c r="F424" i="9"/>
  <c r="I235" i="9"/>
  <c r="E236" i="9"/>
  <c r="J235" i="9"/>
  <c r="F425" i="9" l="1"/>
  <c r="D429" i="9"/>
  <c r="M236" i="9"/>
  <c r="L236" i="9"/>
  <c r="G236" i="9"/>
  <c r="C237" i="9" s="1"/>
  <c r="D430" i="9" l="1"/>
  <c r="F426" i="9"/>
  <c r="I236" i="9"/>
  <c r="E237" i="9"/>
  <c r="J236" i="9"/>
  <c r="F427" i="9" l="1"/>
  <c r="D431" i="9"/>
  <c r="M237" i="9"/>
  <c r="L237" i="9"/>
  <c r="G237" i="9"/>
  <c r="C238" i="9" s="1"/>
  <c r="D432" i="9" l="1"/>
  <c r="F428" i="9"/>
  <c r="I237" i="9"/>
  <c r="E238" i="9"/>
  <c r="J237" i="9"/>
  <c r="D433" i="9" l="1"/>
  <c r="F429" i="9"/>
  <c r="M238" i="9"/>
  <c r="L238" i="9"/>
  <c r="G238" i="9"/>
  <c r="C239" i="9" s="1"/>
  <c r="D434" i="9" l="1"/>
  <c r="F430" i="9"/>
  <c r="E239" i="9"/>
  <c r="I238" i="9"/>
  <c r="R238" i="9"/>
  <c r="W5" i="8" s="1"/>
  <c r="W41" i="8" s="1"/>
  <c r="J238" i="9"/>
  <c r="S238" i="9"/>
  <c r="W6" i="8" s="1"/>
  <c r="F431" i="9" l="1"/>
  <c r="D435" i="9"/>
  <c r="W7" i="8"/>
  <c r="W39" i="11" s="1"/>
  <c r="W43" i="11" s="1"/>
  <c r="M239" i="9"/>
  <c r="L239" i="9"/>
  <c r="G239" i="9"/>
  <c r="C240" i="9" s="1"/>
  <c r="D436" i="9" l="1"/>
  <c r="F432" i="9"/>
  <c r="E240" i="9"/>
  <c r="I239" i="9"/>
  <c r="J239" i="9"/>
  <c r="W42" i="8"/>
  <c r="W55" i="8"/>
  <c r="W29" i="8" s="1"/>
  <c r="W24" i="8"/>
  <c r="W43" i="8" l="1"/>
  <c r="F433" i="9"/>
  <c r="D437" i="9"/>
  <c r="W45" i="8"/>
  <c r="W30" i="8"/>
  <c r="W25" i="8"/>
  <c r="W26" i="8"/>
  <c r="M240" i="9"/>
  <c r="L240" i="9"/>
  <c r="G240" i="9"/>
  <c r="C241" i="9" s="1"/>
  <c r="W36" i="8" l="1"/>
  <c r="D438" i="9"/>
  <c r="F434" i="9"/>
  <c r="J240" i="9"/>
  <c r="I240" i="9"/>
  <c r="W32" i="8"/>
  <c r="V92" i="4"/>
  <c r="V91" i="4"/>
  <c r="V97" i="4" s="1"/>
  <c r="V101" i="4" s="1"/>
  <c r="W31" i="8"/>
  <c r="E241" i="9"/>
  <c r="G241" i="9" s="1"/>
  <c r="C242" i="9" s="1"/>
  <c r="W37" i="8" l="1"/>
  <c r="W38" i="8"/>
  <c r="F435" i="9"/>
  <c r="D439" i="9"/>
  <c r="E242" i="9"/>
  <c r="M241" i="9"/>
  <c r="L241" i="9"/>
  <c r="D440" i="9" l="1"/>
  <c r="F436" i="9"/>
  <c r="I241" i="9"/>
  <c r="J241" i="9"/>
  <c r="M242" i="9"/>
  <c r="L242" i="9"/>
  <c r="G242" i="9"/>
  <c r="C243" i="9" s="1"/>
  <c r="F437" i="9" l="1"/>
  <c r="D441" i="9"/>
  <c r="I242" i="9"/>
  <c r="J242" i="9"/>
  <c r="E243" i="9"/>
  <c r="G243" i="9" s="1"/>
  <c r="C244" i="9" s="1"/>
  <c r="D442" i="9" l="1"/>
  <c r="F438" i="9"/>
  <c r="M243" i="9"/>
  <c r="L243" i="9"/>
  <c r="E244" i="9"/>
  <c r="G244" i="9" s="1"/>
  <c r="C245" i="9" s="1"/>
  <c r="F439" i="9" l="1"/>
  <c r="D443" i="9"/>
  <c r="E245" i="9"/>
  <c r="I243" i="9"/>
  <c r="M244" i="9"/>
  <c r="L244" i="9"/>
  <c r="J243" i="9"/>
  <c r="D444" i="9" l="1"/>
  <c r="F440" i="9"/>
  <c r="J244" i="9"/>
  <c r="M245" i="9"/>
  <c r="L245" i="9"/>
  <c r="I244" i="9"/>
  <c r="G245" i="9"/>
  <c r="C246" i="9" s="1"/>
  <c r="F441" i="9" l="1"/>
  <c r="D445" i="9"/>
  <c r="I245" i="9"/>
  <c r="E246" i="9"/>
  <c r="J245" i="9"/>
  <c r="D446" i="9" l="1"/>
  <c r="F442" i="9"/>
  <c r="M246" i="9"/>
  <c r="L246" i="9"/>
  <c r="G246" i="9"/>
  <c r="C247" i="9" s="1"/>
  <c r="F443" i="9" l="1"/>
  <c r="D447" i="9"/>
  <c r="I246" i="9"/>
  <c r="E247" i="9"/>
  <c r="J246" i="9"/>
  <c r="D448" i="9" l="1"/>
  <c r="F444" i="9"/>
  <c r="M247" i="9"/>
  <c r="L247" i="9"/>
  <c r="G247" i="9"/>
  <c r="C248" i="9" s="1"/>
  <c r="F445" i="9" l="1"/>
  <c r="D449" i="9"/>
  <c r="I247" i="9"/>
  <c r="E248" i="9"/>
  <c r="J247" i="9"/>
  <c r="D450" i="9" l="1"/>
  <c r="F446" i="9"/>
  <c r="M248" i="9"/>
  <c r="L248" i="9"/>
  <c r="G248" i="9"/>
  <c r="C249" i="9" s="1"/>
  <c r="F447" i="9" l="1"/>
  <c r="D451" i="9"/>
  <c r="I248" i="9"/>
  <c r="E249" i="9"/>
  <c r="J248" i="9"/>
  <c r="D452" i="9" l="1"/>
  <c r="F448" i="9"/>
  <c r="M249" i="9"/>
  <c r="L249" i="9"/>
  <c r="G249" i="9"/>
  <c r="C250" i="9" s="1"/>
  <c r="D453" i="9" l="1"/>
  <c r="F449" i="9"/>
  <c r="I249" i="9"/>
  <c r="E250" i="9"/>
  <c r="J249" i="9"/>
  <c r="F450" i="9" l="1"/>
  <c r="D454" i="9"/>
  <c r="M250" i="9"/>
  <c r="L250" i="9"/>
  <c r="G250" i="9"/>
  <c r="C251" i="9" s="1"/>
  <c r="D455" i="9" l="1"/>
  <c r="F451" i="9"/>
  <c r="E251" i="9"/>
  <c r="G251" i="9" s="1"/>
  <c r="C252" i="9" s="1"/>
  <c r="I250" i="9"/>
  <c r="R250" i="9"/>
  <c r="J250" i="9"/>
  <c r="S250" i="9"/>
  <c r="F452" i="9" l="1"/>
  <c r="D456" i="9"/>
  <c r="M251" i="9"/>
  <c r="L251" i="9"/>
  <c r="E252" i="9"/>
  <c r="G252" i="9" s="1"/>
  <c r="C253" i="9" s="1"/>
  <c r="X6" i="8"/>
  <c r="X5" i="8"/>
  <c r="X41" i="8" s="1"/>
  <c r="D457" i="9" l="1"/>
  <c r="F453" i="9"/>
  <c r="E253" i="9"/>
  <c r="M252" i="9"/>
  <c r="L252" i="9"/>
  <c r="I251" i="9"/>
  <c r="J251" i="9"/>
  <c r="X42" i="8"/>
  <c r="O5" i="9" s="1"/>
  <c r="O6" i="9" s="1"/>
  <c r="P10" i="9" s="1"/>
  <c r="P11" i="9" s="1"/>
  <c r="P12" i="9" s="1"/>
  <c r="P13" i="9" s="1"/>
  <c r="X7" i="8"/>
  <c r="X39" i="11" s="1"/>
  <c r="X43" i="11" s="1"/>
  <c r="O7" i="9" l="1"/>
  <c r="O8" i="9" s="1"/>
  <c r="F454" i="9"/>
  <c r="D458" i="9"/>
  <c r="X43" i="8"/>
  <c r="X45" i="8"/>
  <c r="I252" i="9"/>
  <c r="J252" i="9"/>
  <c r="M253" i="9"/>
  <c r="L253" i="9"/>
  <c r="G253" i="9"/>
  <c r="C254" i="9" s="1"/>
  <c r="X55" i="8"/>
  <c r="X29" i="8" s="1"/>
  <c r="X24" i="8"/>
  <c r="D459" i="9" l="1"/>
  <c r="F455" i="9"/>
  <c r="E254" i="9"/>
  <c r="I253" i="9"/>
  <c r="J253" i="9"/>
  <c r="X30" i="8"/>
  <c r="X25" i="8"/>
  <c r="X26" i="8"/>
  <c r="X36" i="8" l="1"/>
  <c r="F456" i="9"/>
  <c r="D460" i="9"/>
  <c r="M254" i="9"/>
  <c r="L254" i="9"/>
  <c r="G254" i="9"/>
  <c r="C255" i="9" s="1"/>
  <c r="X31" i="8"/>
  <c r="W91" i="4"/>
  <c r="W97" i="4" s="1"/>
  <c r="W101" i="4" s="1"/>
  <c r="W92" i="4"/>
  <c r="X32" i="8"/>
  <c r="D461" i="9" l="1"/>
  <c r="F457" i="9"/>
  <c r="E255" i="9"/>
  <c r="I254" i="9"/>
  <c r="J254" i="9"/>
  <c r="X38" i="8"/>
  <c r="X37" i="8"/>
  <c r="F458" i="9" l="1"/>
  <c r="D462" i="9"/>
  <c r="M255" i="9"/>
  <c r="L255" i="9"/>
  <c r="G255" i="9"/>
  <c r="C256" i="9" s="1"/>
  <c r="D463" i="9" l="1"/>
  <c r="F459" i="9"/>
  <c r="E256" i="9"/>
  <c r="I255" i="9"/>
  <c r="J255" i="9"/>
  <c r="D464" i="9" l="1"/>
  <c r="F460" i="9"/>
  <c r="M256" i="9"/>
  <c r="L256" i="9"/>
  <c r="G256" i="9"/>
  <c r="C257" i="9" s="1"/>
  <c r="D465" i="9" l="1"/>
  <c r="F461" i="9"/>
  <c r="I256" i="9"/>
  <c r="E257" i="9"/>
  <c r="J256" i="9"/>
  <c r="F462" i="9" l="1"/>
  <c r="D466" i="9"/>
  <c r="M257" i="9"/>
  <c r="L257" i="9"/>
  <c r="G257" i="9"/>
  <c r="C258" i="9" s="1"/>
  <c r="I257" i="9" l="1"/>
  <c r="F463" i="9"/>
  <c r="D467" i="9"/>
  <c r="E258" i="9"/>
  <c r="J257" i="9"/>
  <c r="D468" i="9" l="1"/>
  <c r="F464" i="9"/>
  <c r="M258" i="9"/>
  <c r="L258" i="9"/>
  <c r="G258" i="9"/>
  <c r="C259" i="9" s="1"/>
  <c r="I258" i="9" l="1"/>
  <c r="D469" i="9"/>
  <c r="F465" i="9"/>
  <c r="E259" i="9"/>
  <c r="J258" i="9"/>
  <c r="F466" i="9" l="1"/>
  <c r="D470" i="9"/>
  <c r="M259" i="9"/>
  <c r="L259" i="9"/>
  <c r="G259" i="9"/>
  <c r="C260" i="9" s="1"/>
  <c r="I259" i="9" l="1"/>
  <c r="D471" i="9"/>
  <c r="F467" i="9"/>
  <c r="E260" i="9"/>
  <c r="J259" i="9"/>
  <c r="F468" i="9" l="1"/>
  <c r="D472" i="9"/>
  <c r="M260" i="9"/>
  <c r="L260" i="9"/>
  <c r="G260" i="9"/>
  <c r="C261" i="9" s="1"/>
  <c r="F469" i="9" l="1"/>
  <c r="D473" i="9"/>
  <c r="J260" i="9"/>
  <c r="E261" i="9"/>
  <c r="I260" i="9"/>
  <c r="D474" i="9" l="1"/>
  <c r="F470" i="9"/>
  <c r="M261" i="9"/>
  <c r="L261" i="9"/>
  <c r="G261" i="9"/>
  <c r="C262" i="9" s="1"/>
  <c r="F471" i="9" l="1"/>
  <c r="I261" i="9"/>
  <c r="D475" i="9"/>
  <c r="E262" i="9"/>
  <c r="J261" i="9"/>
  <c r="D476" i="9" l="1"/>
  <c r="F472" i="9"/>
  <c r="M262" i="9"/>
  <c r="L262" i="9"/>
  <c r="G262" i="9"/>
  <c r="C263" i="9" s="1"/>
  <c r="E263" i="9" l="1"/>
  <c r="F473" i="9"/>
  <c r="D477" i="9"/>
  <c r="I262" i="9"/>
  <c r="R262" i="9"/>
  <c r="Y5" i="8" s="1"/>
  <c r="Y41" i="8" s="1"/>
  <c r="J262" i="9"/>
  <c r="S262" i="9"/>
  <c r="Y6" i="8" s="1"/>
  <c r="D478" i="9" l="1"/>
  <c r="F474" i="9"/>
  <c r="M263" i="9"/>
  <c r="L263" i="9"/>
  <c r="G263" i="9"/>
  <c r="C264" i="9" s="1"/>
  <c r="Y7" i="8"/>
  <c r="Y39" i="11" s="1"/>
  <c r="Y43" i="11" s="1"/>
  <c r="I263" i="9" l="1"/>
  <c r="J263" i="9"/>
  <c r="F475" i="9"/>
  <c r="E264" i="9"/>
  <c r="D479" i="9"/>
  <c r="Y42" i="8"/>
  <c r="Y24" i="8"/>
  <c r="Y55" i="8"/>
  <c r="Y29" i="8" s="1"/>
  <c r="F476" i="9" l="1"/>
  <c r="D480" i="9"/>
  <c r="M264" i="9"/>
  <c r="L264" i="9"/>
  <c r="G264" i="9"/>
  <c r="C265" i="9" s="1"/>
  <c r="Y30" i="8"/>
  <c r="Y25" i="8"/>
  <c r="Y26" i="8"/>
  <c r="Y43" i="8"/>
  <c r="Y45" i="8"/>
  <c r="I264" i="9" l="1"/>
  <c r="J264" i="9"/>
  <c r="D481" i="9"/>
  <c r="E265" i="9"/>
  <c r="F477" i="9"/>
  <c r="X91" i="4"/>
  <c r="X97" i="4" s="1"/>
  <c r="X101" i="4" s="1"/>
  <c r="Y31" i="8"/>
  <c r="X92" i="4"/>
  <c r="X94" i="4" s="1"/>
  <c r="Y36" i="8"/>
  <c r="Y32" i="8"/>
  <c r="M265" i="9" l="1"/>
  <c r="L265" i="9"/>
  <c r="G265" i="9"/>
  <c r="C266" i="9" s="1"/>
  <c r="F478" i="9"/>
  <c r="D482" i="9"/>
  <c r="Y37" i="8"/>
  <c r="Y46" i="8"/>
  <c r="Y13" i="7"/>
  <c r="Y38" i="8"/>
  <c r="F479" i="9" l="1"/>
  <c r="E266" i="9"/>
  <c r="G266" i="9" s="1"/>
  <c r="C267" i="9" s="1"/>
  <c r="D483" i="9"/>
  <c r="I265" i="9"/>
  <c r="J265" i="9"/>
  <c r="M266" i="9" l="1"/>
  <c r="L266" i="9"/>
  <c r="E267" i="9"/>
  <c r="D484" i="9"/>
  <c r="F480" i="9"/>
  <c r="D485" i="9" l="1"/>
  <c r="M267" i="9"/>
  <c r="L267" i="9"/>
  <c r="F481" i="9"/>
  <c r="G267" i="9"/>
  <c r="C268" i="9" s="1"/>
  <c r="I266" i="9"/>
  <c r="J266" i="9"/>
  <c r="I267" i="9" l="1"/>
  <c r="F482" i="9"/>
  <c r="J267" i="9"/>
  <c r="D486" i="9"/>
  <c r="E268" i="9"/>
  <c r="D487" i="9" l="1"/>
  <c r="M268" i="9"/>
  <c r="L268" i="9"/>
  <c r="G268" i="9"/>
  <c r="C269" i="9" s="1"/>
  <c r="F483" i="9"/>
  <c r="I268" i="9" l="1"/>
  <c r="E269" i="9"/>
  <c r="F484" i="9"/>
  <c r="J268" i="9"/>
  <c r="D488" i="9"/>
  <c r="F485" i="9" l="1"/>
  <c r="D489" i="9"/>
  <c r="M269" i="9"/>
  <c r="L269" i="9"/>
  <c r="G269" i="9"/>
  <c r="C270" i="9" s="1"/>
  <c r="I269" i="9" l="1"/>
  <c r="J269" i="9"/>
  <c r="D490" i="9"/>
  <c r="E270" i="9"/>
  <c r="F486" i="9"/>
  <c r="B2" i="7"/>
  <c r="E9" i="7" s="1"/>
  <c r="B9" i="7"/>
  <c r="K10" i="4"/>
  <c r="B44" i="4"/>
  <c r="D7" i="7"/>
  <c r="B10" i="7"/>
  <c r="B99" i="4"/>
  <c r="B13" i="7"/>
  <c r="E13" i="7" l="1"/>
  <c r="M270" i="9"/>
  <c r="L270" i="9"/>
  <c r="G270" i="9"/>
  <c r="C271" i="9" s="1"/>
  <c r="D491" i="9"/>
  <c r="F487" i="9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B5" i="7"/>
  <c r="D9" i="7"/>
  <c r="D42" i="4" s="1"/>
  <c r="C93" i="4"/>
  <c r="D15" i="7" l="1"/>
  <c r="F11" i="7"/>
  <c r="V11" i="7"/>
  <c r="W11" i="7"/>
  <c r="R11" i="7"/>
  <c r="J11" i="7"/>
  <c r="T11" i="7"/>
  <c r="U11" i="7"/>
  <c r="L11" i="7"/>
  <c r="O11" i="7"/>
  <c r="N11" i="7"/>
  <c r="M11" i="7"/>
  <c r="P11" i="7"/>
  <c r="X11" i="7"/>
  <c r="Y11" i="7"/>
  <c r="S11" i="7"/>
  <c r="Q11" i="7"/>
  <c r="K11" i="7"/>
  <c r="H11" i="7"/>
  <c r="G11" i="7"/>
  <c r="I11" i="7"/>
  <c r="I270" i="9"/>
  <c r="F488" i="9"/>
  <c r="D492" i="9"/>
  <c r="E271" i="9"/>
  <c r="J270" i="9"/>
  <c r="C102" i="4"/>
  <c r="A47" i="11"/>
  <c r="D93" i="4"/>
  <c r="D94" i="4" s="1"/>
  <c r="V93" i="4"/>
  <c r="V94" i="4" s="1"/>
  <c r="W10" i="7"/>
  <c r="W13" i="7"/>
  <c r="W46" i="8"/>
  <c r="X10" i="7"/>
  <c r="W93" i="4"/>
  <c r="W94" i="4" s="1"/>
  <c r="X13" i="7"/>
  <c r="X46" i="8"/>
  <c r="P10" i="7"/>
  <c r="P46" i="8"/>
  <c r="P13" i="7"/>
  <c r="H10" i="7"/>
  <c r="H93" i="4"/>
  <c r="H94" i="4" s="1"/>
  <c r="H46" i="8"/>
  <c r="H13" i="7"/>
  <c r="U93" i="4"/>
  <c r="U94" i="4" s="1"/>
  <c r="V10" i="7"/>
  <c r="V46" i="8"/>
  <c r="V13" i="7"/>
  <c r="N93" i="4"/>
  <c r="N94" i="4" s="1"/>
  <c r="N10" i="7"/>
  <c r="N46" i="8"/>
  <c r="N13" i="7"/>
  <c r="F10" i="7"/>
  <c r="F93" i="4"/>
  <c r="F94" i="4" s="1"/>
  <c r="F46" i="8"/>
  <c r="F13" i="7"/>
  <c r="T93" i="4"/>
  <c r="T94" i="4" s="1"/>
  <c r="U10" i="7"/>
  <c r="U46" i="8"/>
  <c r="U13" i="7"/>
  <c r="M10" i="7"/>
  <c r="M93" i="4"/>
  <c r="M94" i="4" s="1"/>
  <c r="M46" i="8"/>
  <c r="M13" i="7"/>
  <c r="E10" i="7"/>
  <c r="E93" i="4"/>
  <c r="E94" i="4" s="1"/>
  <c r="E46" i="8"/>
  <c r="O10" i="7"/>
  <c r="O93" i="4"/>
  <c r="O94" i="4" s="1"/>
  <c r="O46" i="8"/>
  <c r="O13" i="7"/>
  <c r="S93" i="4"/>
  <c r="S94" i="4" s="1"/>
  <c r="T10" i="7"/>
  <c r="T13" i="7"/>
  <c r="T46" i="8"/>
  <c r="L10" i="7"/>
  <c r="L93" i="4"/>
  <c r="L94" i="4" s="1"/>
  <c r="L13" i="7"/>
  <c r="L46" i="8"/>
  <c r="S10" i="7"/>
  <c r="S46" i="8"/>
  <c r="S13" i="7"/>
  <c r="K10" i="7"/>
  <c r="K92" i="4"/>
  <c r="K93" i="4" s="1"/>
  <c r="K46" i="8"/>
  <c r="K13" i="7"/>
  <c r="G10" i="7"/>
  <c r="G93" i="4"/>
  <c r="G94" i="4" s="1"/>
  <c r="G46" i="8"/>
  <c r="G13" i="7"/>
  <c r="J92" i="4"/>
  <c r="J93" i="4" s="1"/>
  <c r="J10" i="7"/>
  <c r="J13" i="7"/>
  <c r="J46" i="8"/>
  <c r="R93" i="4"/>
  <c r="R94" i="4" s="1"/>
  <c r="R10" i="7"/>
  <c r="R13" i="7"/>
  <c r="R46" i="8"/>
  <c r="Q10" i="7"/>
  <c r="Q13" i="7"/>
  <c r="Q46" i="8"/>
  <c r="I92" i="4"/>
  <c r="I93" i="4" s="1"/>
  <c r="I10" i="7"/>
  <c r="I46" i="8"/>
  <c r="I13" i="7"/>
  <c r="D17" i="7" l="1"/>
  <c r="D77" i="11" s="1"/>
  <c r="K3" i="4"/>
  <c r="E14" i="7"/>
  <c r="M271" i="9"/>
  <c r="L271" i="9"/>
  <c r="G271" i="9"/>
  <c r="C272" i="9" s="1"/>
  <c r="D493" i="9"/>
  <c r="F489" i="9"/>
  <c r="D4" i="11"/>
  <c r="D5" i="11" s="1"/>
  <c r="D99" i="4"/>
  <c r="D100" i="4" s="1"/>
  <c r="E48" i="8"/>
  <c r="I271" i="9" l="1"/>
  <c r="E15" i="7"/>
  <c r="E17" i="7" s="1"/>
  <c r="E77" i="11" s="1"/>
  <c r="F490" i="9"/>
  <c r="D494" i="9"/>
  <c r="E272" i="9"/>
  <c r="J271" i="9"/>
  <c r="E49" i="8"/>
  <c r="F47" i="8"/>
  <c r="F48" i="8" s="1"/>
  <c r="E50" i="8" l="1"/>
  <c r="E51" i="8"/>
  <c r="E78" i="11" s="1"/>
  <c r="F14" i="7"/>
  <c r="F15" i="7" s="1"/>
  <c r="F17" i="7" s="1"/>
  <c r="F77" i="11" s="1"/>
  <c r="E16" i="7"/>
  <c r="E99" i="4"/>
  <c r="E4" i="11"/>
  <c r="M272" i="9"/>
  <c r="L272" i="9"/>
  <c r="I272" i="9" s="1"/>
  <c r="G272" i="9"/>
  <c r="C273" i="9" s="1"/>
  <c r="D495" i="9"/>
  <c r="F491" i="9"/>
  <c r="E3" i="11"/>
  <c r="E98" i="4"/>
  <c r="F49" i="8"/>
  <c r="F51" i="8" s="1"/>
  <c r="F78" i="11" s="1"/>
  <c r="E100" i="4" l="1"/>
  <c r="E5" i="11"/>
  <c r="F4" i="11"/>
  <c r="F492" i="9"/>
  <c r="D496" i="9"/>
  <c r="E273" i="9"/>
  <c r="G273" i="9" s="1"/>
  <c r="C274" i="9" s="1"/>
  <c r="J272" i="9"/>
  <c r="G47" i="8"/>
  <c r="G48" i="8" s="1"/>
  <c r="G49" i="8" s="1"/>
  <c r="G51" i="8" s="1"/>
  <c r="G78" i="11" s="1"/>
  <c r="F3" i="11"/>
  <c r="G14" i="7"/>
  <c r="F16" i="7"/>
  <c r="F99" i="4"/>
  <c r="G15" i="7" l="1"/>
  <c r="G17" i="7" s="1"/>
  <c r="F5" i="11"/>
  <c r="E274" i="9"/>
  <c r="D497" i="9"/>
  <c r="M273" i="9"/>
  <c r="L273" i="9"/>
  <c r="F493" i="9"/>
  <c r="H47" i="8"/>
  <c r="H48" i="8" s="1"/>
  <c r="G3" i="11"/>
  <c r="F98" i="4"/>
  <c r="F100" i="4" s="1"/>
  <c r="F50" i="8"/>
  <c r="G77" i="11" l="1"/>
  <c r="I273" i="9"/>
  <c r="J273" i="9"/>
  <c r="D498" i="9"/>
  <c r="M274" i="9"/>
  <c r="L274" i="9"/>
  <c r="F494" i="9"/>
  <c r="G274" i="9"/>
  <c r="C275" i="9" s="1"/>
  <c r="G16" i="7"/>
  <c r="G4" i="11"/>
  <c r="G5" i="11" s="1"/>
  <c r="G99" i="4"/>
  <c r="H14" i="7"/>
  <c r="H15" i="7" s="1"/>
  <c r="H17" i="7" s="1"/>
  <c r="H77" i="11" s="1"/>
  <c r="I47" i="8"/>
  <c r="I48" i="8" s="1"/>
  <c r="H49" i="8"/>
  <c r="H51" i="8" s="1"/>
  <c r="H78" i="11" s="1"/>
  <c r="G50" i="8"/>
  <c r="G98" i="4"/>
  <c r="H3" i="11" l="1"/>
  <c r="E275" i="9"/>
  <c r="I274" i="9"/>
  <c r="R274" i="9"/>
  <c r="Z5" i="8" s="1"/>
  <c r="Z41" i="8" s="1"/>
  <c r="F495" i="9"/>
  <c r="J274" i="9"/>
  <c r="S274" i="9"/>
  <c r="Z6" i="8" s="1"/>
  <c r="D499" i="9"/>
  <c r="H99" i="4"/>
  <c r="H4" i="11"/>
  <c r="G100" i="4"/>
  <c r="I14" i="7"/>
  <c r="I15" i="7" s="1"/>
  <c r="I17" i="7" s="1"/>
  <c r="I77" i="11" s="1"/>
  <c r="H16" i="7"/>
  <c r="I49" i="8"/>
  <c r="I51" i="8" s="1"/>
  <c r="I78" i="11" s="1"/>
  <c r="J47" i="8"/>
  <c r="J48" i="8" s="1"/>
  <c r="H50" i="8"/>
  <c r="H98" i="4"/>
  <c r="H5" i="11" l="1"/>
  <c r="I3" i="11"/>
  <c r="F496" i="9"/>
  <c r="Z7" i="8"/>
  <c r="D500" i="9"/>
  <c r="M275" i="9"/>
  <c r="L275" i="9"/>
  <c r="G275" i="9"/>
  <c r="C276" i="9" s="1"/>
  <c r="H100" i="4"/>
  <c r="J14" i="7"/>
  <c r="J15" i="7" s="1"/>
  <c r="J17" i="7" s="1"/>
  <c r="J77" i="11" s="1"/>
  <c r="I4" i="11"/>
  <c r="I16" i="7"/>
  <c r="I98" i="4"/>
  <c r="K47" i="8"/>
  <c r="K48" i="8" s="1"/>
  <c r="J49" i="8"/>
  <c r="J51" i="8" s="1"/>
  <c r="J78" i="11" s="1"/>
  <c r="I97" i="4"/>
  <c r="I50" i="8"/>
  <c r="I5" i="11" l="1"/>
  <c r="J4" i="11"/>
  <c r="J3" i="11"/>
  <c r="J275" i="9"/>
  <c r="D501" i="9"/>
  <c r="Z42" i="8"/>
  <c r="Z24" i="8"/>
  <c r="Z55" i="8"/>
  <c r="Z29" i="8" s="1"/>
  <c r="Z39" i="11"/>
  <c r="Z43" i="11" s="1"/>
  <c r="I275" i="9"/>
  <c r="F497" i="9"/>
  <c r="E276" i="9"/>
  <c r="J98" i="4"/>
  <c r="J16" i="7"/>
  <c r="K14" i="7"/>
  <c r="K15" i="7" s="1"/>
  <c r="K17" i="7" s="1"/>
  <c r="K77" i="11" s="1"/>
  <c r="I99" i="4"/>
  <c r="K49" i="8"/>
  <c r="K51" i="8" s="1"/>
  <c r="K78" i="11" s="1"/>
  <c r="L47" i="8"/>
  <c r="L48" i="8" s="1"/>
  <c r="J50" i="8"/>
  <c r="J97" i="4"/>
  <c r="J5" i="11" l="1"/>
  <c r="K4" i="11"/>
  <c r="K3" i="11"/>
  <c r="M276" i="9"/>
  <c r="L276" i="9"/>
  <c r="Z25" i="8"/>
  <c r="Z30" i="8"/>
  <c r="Z26" i="8"/>
  <c r="G276" i="9"/>
  <c r="C277" i="9" s="1"/>
  <c r="Z43" i="8"/>
  <c r="Z45" i="8"/>
  <c r="F498" i="9"/>
  <c r="D502" i="9"/>
  <c r="J99" i="4"/>
  <c r="K16" i="7"/>
  <c r="K98" i="4"/>
  <c r="L14" i="7"/>
  <c r="L15" i="7" s="1"/>
  <c r="L17" i="7" s="1"/>
  <c r="L77" i="11" s="1"/>
  <c r="L49" i="8"/>
  <c r="L51" i="8" s="1"/>
  <c r="L78" i="11" s="1"/>
  <c r="M47" i="8"/>
  <c r="M48" i="8" s="1"/>
  <c r="K50" i="8"/>
  <c r="K97" i="4"/>
  <c r="K5" i="11" l="1"/>
  <c r="L4" i="11"/>
  <c r="L3" i="11"/>
  <c r="E277" i="9"/>
  <c r="Z36" i="8"/>
  <c r="Z31" i="8"/>
  <c r="Y92" i="4"/>
  <c r="Y94" i="4" s="1"/>
  <c r="Y91" i="4"/>
  <c r="Y97" i="4" s="1"/>
  <c r="Y101" i="4" s="1"/>
  <c r="Z32" i="8"/>
  <c r="D503" i="9"/>
  <c r="F499" i="9"/>
  <c r="I276" i="9"/>
  <c r="J276" i="9"/>
  <c r="K99" i="4"/>
  <c r="M14" i="7"/>
  <c r="M15" i="7" s="1"/>
  <c r="M17" i="7" s="1"/>
  <c r="M77" i="11" s="1"/>
  <c r="L99" i="4"/>
  <c r="L16" i="7"/>
  <c r="M49" i="8"/>
  <c r="M51" i="8" s="1"/>
  <c r="M78" i="11" s="1"/>
  <c r="N47" i="8"/>
  <c r="N48" i="8" s="1"/>
  <c r="L50" i="8"/>
  <c r="L98" i="4"/>
  <c r="L5" i="11" l="1"/>
  <c r="M4" i="11"/>
  <c r="M3" i="11"/>
  <c r="F500" i="9"/>
  <c r="Z37" i="8"/>
  <c r="Z46" i="8"/>
  <c r="Z13" i="7"/>
  <c r="Z38" i="8"/>
  <c r="D504" i="9"/>
  <c r="M277" i="9"/>
  <c r="L277" i="9"/>
  <c r="G277" i="9"/>
  <c r="C278" i="9" s="1"/>
  <c r="L100" i="4"/>
  <c r="M99" i="4"/>
  <c r="N14" i="7"/>
  <c r="N15" i="7" s="1"/>
  <c r="N17" i="7" s="1"/>
  <c r="N77" i="11" s="1"/>
  <c r="M16" i="7"/>
  <c r="N49" i="8"/>
  <c r="N51" i="8" s="1"/>
  <c r="N78" i="11" s="1"/>
  <c r="O47" i="8"/>
  <c r="O48" i="8" s="1"/>
  <c r="M98" i="4"/>
  <c r="M50" i="8"/>
  <c r="M5" i="11" l="1"/>
  <c r="N4" i="11"/>
  <c r="N3" i="11"/>
  <c r="D505" i="9"/>
  <c r="E278" i="9"/>
  <c r="I277" i="9"/>
  <c r="J277" i="9"/>
  <c r="F501" i="9"/>
  <c r="M100" i="4"/>
  <c r="N16" i="7"/>
  <c r="O14" i="7"/>
  <c r="O15" i="7" s="1"/>
  <c r="O17" i="7" s="1"/>
  <c r="O77" i="11" s="1"/>
  <c r="N99" i="4"/>
  <c r="P47" i="8"/>
  <c r="P48" i="8" s="1"/>
  <c r="O49" i="8"/>
  <c r="O51" i="8" s="1"/>
  <c r="O78" i="11" s="1"/>
  <c r="N98" i="4"/>
  <c r="N50" i="8"/>
  <c r="N5" i="11" l="1"/>
  <c r="O4" i="11"/>
  <c r="O3" i="11"/>
  <c r="M278" i="9"/>
  <c r="L278" i="9"/>
  <c r="G278" i="9"/>
  <c r="C279" i="9" s="1"/>
  <c r="D506" i="9"/>
  <c r="F502" i="9"/>
  <c r="P14" i="7"/>
  <c r="P15" i="7" s="1"/>
  <c r="P17" i="7" s="1"/>
  <c r="P77" i="11" s="1"/>
  <c r="O99" i="4"/>
  <c r="O16" i="7"/>
  <c r="N100" i="4"/>
  <c r="O50" i="8"/>
  <c r="O98" i="4"/>
  <c r="P49" i="8"/>
  <c r="P51" i="8" s="1"/>
  <c r="P78" i="11" s="1"/>
  <c r="Q47" i="8"/>
  <c r="Q48" i="8" s="1"/>
  <c r="O5" i="11" l="1"/>
  <c r="P4" i="11"/>
  <c r="P3" i="11"/>
  <c r="D507" i="9"/>
  <c r="F503" i="9"/>
  <c r="E279" i="9"/>
  <c r="G279" i="9" s="1"/>
  <c r="C280" i="9" s="1"/>
  <c r="I278" i="9"/>
  <c r="J278" i="9"/>
  <c r="O100" i="4"/>
  <c r="Q14" i="7"/>
  <c r="Q15" i="7" s="1"/>
  <c r="Q17" i="7" s="1"/>
  <c r="Q77" i="11" s="1"/>
  <c r="P16" i="7"/>
  <c r="R47" i="8"/>
  <c r="R48" i="8" s="1"/>
  <c r="Q49" i="8"/>
  <c r="Q51" i="8" s="1"/>
  <c r="Q78" i="11" s="1"/>
  <c r="P50" i="8"/>
  <c r="P5" i="11" l="1"/>
  <c r="Q4" i="11"/>
  <c r="Q3" i="11"/>
  <c r="M279" i="9"/>
  <c r="L279" i="9"/>
  <c r="E280" i="9"/>
  <c r="F504" i="9"/>
  <c r="D508" i="9"/>
  <c r="R14" i="7"/>
  <c r="R15" i="7" s="1"/>
  <c r="R17" i="7" s="1"/>
  <c r="R77" i="11" s="1"/>
  <c r="Q16" i="7"/>
  <c r="S47" i="8"/>
  <c r="S48" i="8" s="1"/>
  <c r="R49" i="8"/>
  <c r="R51" i="8" s="1"/>
  <c r="R78" i="11" s="1"/>
  <c r="Q50" i="8"/>
  <c r="Q5" i="11" l="1"/>
  <c r="R4" i="11"/>
  <c r="R3" i="11"/>
  <c r="M280" i="9"/>
  <c r="L280" i="9"/>
  <c r="G280" i="9"/>
  <c r="C281" i="9" s="1"/>
  <c r="F505" i="9"/>
  <c r="I279" i="9"/>
  <c r="D509" i="9"/>
  <c r="J279" i="9"/>
  <c r="S14" i="7"/>
  <c r="S15" i="7" s="1"/>
  <c r="S17" i="7" s="1"/>
  <c r="S77" i="11" s="1"/>
  <c r="R16" i="7"/>
  <c r="R99" i="4"/>
  <c r="S49" i="8"/>
  <c r="S51" i="8" s="1"/>
  <c r="S78" i="11" s="1"/>
  <c r="T47" i="8"/>
  <c r="T48" i="8" s="1"/>
  <c r="R50" i="8"/>
  <c r="R98" i="4"/>
  <c r="R5" i="11" l="1"/>
  <c r="S4" i="11"/>
  <c r="S3" i="11"/>
  <c r="I280" i="9"/>
  <c r="D510" i="9"/>
  <c r="F506" i="9"/>
  <c r="E281" i="9"/>
  <c r="G281" i="9" s="1"/>
  <c r="C282" i="9" s="1"/>
  <c r="J280" i="9"/>
  <c r="T14" i="7"/>
  <c r="T15" i="7" s="1"/>
  <c r="T17" i="7" s="1"/>
  <c r="T77" i="11" s="1"/>
  <c r="S16" i="7"/>
  <c r="R100" i="4"/>
  <c r="S50" i="8"/>
  <c r="T49" i="8"/>
  <c r="T51" i="8" s="1"/>
  <c r="T78" i="11" s="1"/>
  <c r="U47" i="8"/>
  <c r="U48" i="8" s="1"/>
  <c r="S5" i="11" l="1"/>
  <c r="T4" i="11"/>
  <c r="T3" i="11"/>
  <c r="M281" i="9"/>
  <c r="L281" i="9"/>
  <c r="E282" i="9"/>
  <c r="F507" i="9"/>
  <c r="D511" i="9"/>
  <c r="U14" i="7"/>
  <c r="U15" i="7" s="1"/>
  <c r="U17" i="7" s="1"/>
  <c r="U77" i="11" s="1"/>
  <c r="T16" i="7"/>
  <c r="S99" i="4"/>
  <c r="U49" i="8"/>
  <c r="U51" i="8" s="1"/>
  <c r="U78" i="11" s="1"/>
  <c r="V47" i="8"/>
  <c r="V48" i="8" s="1"/>
  <c r="S98" i="4"/>
  <c r="T50" i="8"/>
  <c r="T5" i="11" l="1"/>
  <c r="U4" i="11"/>
  <c r="U3" i="11"/>
  <c r="I281" i="9"/>
  <c r="U16" i="7"/>
  <c r="T99" i="4"/>
  <c r="V14" i="7"/>
  <c r="V15" i="7" s="1"/>
  <c r="V17" i="7" s="1"/>
  <c r="V77" i="11" s="1"/>
  <c r="F508" i="9"/>
  <c r="D512" i="9"/>
  <c r="M282" i="9"/>
  <c r="L282" i="9"/>
  <c r="G282" i="9"/>
  <c r="C283" i="9" s="1"/>
  <c r="J281" i="9"/>
  <c r="S100" i="4"/>
  <c r="V49" i="8"/>
  <c r="V51" i="8" s="1"/>
  <c r="V78" i="11" s="1"/>
  <c r="W47" i="8"/>
  <c r="W48" i="8" s="1"/>
  <c r="U50" i="8"/>
  <c r="T98" i="4"/>
  <c r="U5" i="11" l="1"/>
  <c r="V4" i="11"/>
  <c r="V3" i="11"/>
  <c r="T100" i="4"/>
  <c r="J282" i="9"/>
  <c r="E283" i="9"/>
  <c r="D513" i="9"/>
  <c r="I282" i="9"/>
  <c r="F509" i="9"/>
  <c r="U99" i="4"/>
  <c r="V16" i="7"/>
  <c r="W14" i="7"/>
  <c r="W15" i="7" s="1"/>
  <c r="W17" i="7" s="1"/>
  <c r="W77" i="11" s="1"/>
  <c r="W49" i="8"/>
  <c r="W51" i="8" s="1"/>
  <c r="W78" i="11" s="1"/>
  <c r="X47" i="8"/>
  <c r="V50" i="8"/>
  <c r="U98" i="4"/>
  <c r="V5" i="11" l="1"/>
  <c r="W4" i="11"/>
  <c r="W3" i="11"/>
  <c r="D514" i="9"/>
  <c r="F510" i="9"/>
  <c r="M283" i="9"/>
  <c r="L283" i="9"/>
  <c r="G283" i="9"/>
  <c r="C284" i="9" s="1"/>
  <c r="U100" i="4"/>
  <c r="W16" i="7"/>
  <c r="V99" i="4"/>
  <c r="X14" i="7"/>
  <c r="X15" i="7" s="1"/>
  <c r="X48" i="8"/>
  <c r="W50" i="8"/>
  <c r="V98" i="4"/>
  <c r="X17" i="7" l="1"/>
  <c r="X77" i="11" s="1"/>
  <c r="W5" i="11"/>
  <c r="W99" i="4"/>
  <c r="I283" i="9"/>
  <c r="J283" i="9"/>
  <c r="F511" i="9"/>
  <c r="E284" i="9"/>
  <c r="D515" i="9"/>
  <c r="Y14" i="7"/>
  <c r="Y15" i="7" s="1"/>
  <c r="Y17" i="7" s="1"/>
  <c r="Y77" i="11" s="1"/>
  <c r="V100" i="4"/>
  <c r="X16" i="7"/>
  <c r="X4" i="11"/>
  <c r="X49" i="8"/>
  <c r="X51" i="8" s="1"/>
  <c r="X78" i="11" s="1"/>
  <c r="Y47" i="8"/>
  <c r="Y4" i="11" l="1"/>
  <c r="X99" i="4"/>
  <c r="Z14" i="7"/>
  <c r="Z15" i="7" s="1"/>
  <c r="Z17" i="7" s="1"/>
  <c r="Z77" i="11" s="1"/>
  <c r="M284" i="9"/>
  <c r="L284" i="9"/>
  <c r="G284" i="9"/>
  <c r="C285" i="9" s="1"/>
  <c r="D516" i="9"/>
  <c r="F512" i="9"/>
  <c r="Y16" i="7"/>
  <c r="X3" i="11"/>
  <c r="X5" i="11" s="1"/>
  <c r="X50" i="8"/>
  <c r="Y48" i="8"/>
  <c r="Y49" i="8" s="1"/>
  <c r="Y51" i="8" s="1"/>
  <c r="Y78" i="11" s="1"/>
  <c r="W98" i="4"/>
  <c r="W100" i="4" s="1"/>
  <c r="Z4" i="11" l="1"/>
  <c r="I284" i="9"/>
  <c r="D517" i="9"/>
  <c r="F513" i="9"/>
  <c r="E285" i="9"/>
  <c r="J284" i="9"/>
  <c r="AA14" i="7"/>
  <c r="Z16" i="7"/>
  <c r="Y99" i="4"/>
  <c r="Y3" i="11"/>
  <c r="Y5" i="11" s="1"/>
  <c r="Z47" i="8"/>
  <c r="M285" i="9" l="1"/>
  <c r="L285" i="9"/>
  <c r="G285" i="9"/>
  <c r="C286" i="9" s="1"/>
  <c r="F514" i="9"/>
  <c r="D518" i="9"/>
  <c r="Z48" i="8"/>
  <c r="X98" i="4"/>
  <c r="X100" i="4" s="1"/>
  <c r="Y50" i="8"/>
  <c r="I285" i="9" l="1"/>
  <c r="D519" i="9"/>
  <c r="F515" i="9"/>
  <c r="E286" i="9"/>
  <c r="G286" i="9" s="1"/>
  <c r="C287" i="9" s="1"/>
  <c r="J285" i="9"/>
  <c r="AA47" i="8"/>
  <c r="Z49" i="8"/>
  <c r="Z51" i="8" s="1"/>
  <c r="Z78" i="11" s="1"/>
  <c r="Z3" i="11" l="1"/>
  <c r="Z5" i="11" s="1"/>
  <c r="E287" i="9"/>
  <c r="G287" i="9" s="1"/>
  <c r="C288" i="9" s="1"/>
  <c r="F516" i="9"/>
  <c r="M286" i="9"/>
  <c r="L286" i="9"/>
  <c r="D520" i="9"/>
  <c r="Z50" i="8"/>
  <c r="Y98" i="4"/>
  <c r="Y100" i="4" s="1"/>
  <c r="J286" i="9" l="1"/>
  <c r="S286" i="9"/>
  <c r="AA6" i="8" s="1"/>
  <c r="F517" i="9"/>
  <c r="I286" i="9"/>
  <c r="R286" i="9"/>
  <c r="AA5" i="8" s="1"/>
  <c r="AA41" i="8" s="1"/>
  <c r="M287" i="9"/>
  <c r="L287" i="9"/>
  <c r="D521" i="9"/>
  <c r="E288" i="9"/>
  <c r="G288" i="9" s="1"/>
  <c r="C289" i="9" s="1"/>
  <c r="E289" i="9" l="1"/>
  <c r="J287" i="9"/>
  <c r="AA7" i="8"/>
  <c r="F518" i="9"/>
  <c r="I287" i="9"/>
  <c r="M288" i="9"/>
  <c r="L288" i="9"/>
  <c r="D522" i="9"/>
  <c r="I288" i="9" l="1"/>
  <c r="AA42" i="8"/>
  <c r="AA39" i="11"/>
  <c r="AA43" i="11" s="1"/>
  <c r="AA24" i="8"/>
  <c r="AA55" i="8"/>
  <c r="AA29" i="8" s="1"/>
  <c r="F519" i="9"/>
  <c r="M289" i="9"/>
  <c r="L289" i="9"/>
  <c r="D523" i="9"/>
  <c r="J288" i="9"/>
  <c r="G289" i="9"/>
  <c r="C290" i="9" s="1"/>
  <c r="I289" i="9" l="1"/>
  <c r="F520" i="9"/>
  <c r="E290" i="9"/>
  <c r="G290" i="9" s="1"/>
  <c r="C291" i="9" s="1"/>
  <c r="D524" i="9"/>
  <c r="AA30" i="8"/>
  <c r="AA25" i="8"/>
  <c r="AA26" i="8"/>
  <c r="AA45" i="8"/>
  <c r="AA43" i="8"/>
  <c r="J289" i="9"/>
  <c r="D525" i="9" l="1"/>
  <c r="M290" i="9"/>
  <c r="L290" i="9"/>
  <c r="E291" i="9"/>
  <c r="AA31" i="8"/>
  <c r="Z91" i="4"/>
  <c r="Z97" i="4" s="1"/>
  <c r="Z101" i="4" s="1"/>
  <c r="AA32" i="8"/>
  <c r="AA36" i="8"/>
  <c r="Z92" i="4"/>
  <c r="Z94" i="4" s="1"/>
  <c r="F521" i="9"/>
  <c r="F522" i="9" l="1"/>
  <c r="M291" i="9"/>
  <c r="L291" i="9"/>
  <c r="G291" i="9"/>
  <c r="C292" i="9" s="1"/>
  <c r="I290" i="9"/>
  <c r="AA38" i="8"/>
  <c r="AA37" i="8"/>
  <c r="AA13" i="7"/>
  <c r="AA46" i="8"/>
  <c r="AA48" i="8" s="1"/>
  <c r="J290" i="9"/>
  <c r="D526" i="9"/>
  <c r="AA15" i="7" l="1"/>
  <c r="AA17" i="7" s="1"/>
  <c r="AA77" i="11" s="1"/>
  <c r="I291" i="9"/>
  <c r="E292" i="9"/>
  <c r="G292" i="9" s="1"/>
  <c r="C293" i="9" s="1"/>
  <c r="J291" i="9"/>
  <c r="AB47" i="8"/>
  <c r="AA49" i="8"/>
  <c r="AA51" i="8" s="1"/>
  <c r="AA78" i="11" s="1"/>
  <c r="D527" i="9"/>
  <c r="F523" i="9"/>
  <c r="AB14" i="7" l="1"/>
  <c r="AA4" i="11"/>
  <c r="AA16" i="7"/>
  <c r="Z99" i="4"/>
  <c r="F524" i="9"/>
  <c r="AA3" i="11"/>
  <c r="Z98" i="4"/>
  <c r="AA50" i="8"/>
  <c r="M292" i="9"/>
  <c r="L292" i="9"/>
  <c r="D528" i="9"/>
  <c r="E293" i="9"/>
  <c r="AA5" i="11" l="1"/>
  <c r="Z100" i="4"/>
  <c r="J292" i="9"/>
  <c r="D529" i="9"/>
  <c r="M293" i="9"/>
  <c r="L293" i="9"/>
  <c r="F525" i="9"/>
  <c r="G293" i="9"/>
  <c r="C294" i="9" s="1"/>
  <c r="I292" i="9"/>
  <c r="I293" i="9" l="1"/>
  <c r="E294" i="9"/>
  <c r="F526" i="9"/>
  <c r="J293" i="9"/>
  <c r="D530" i="9"/>
  <c r="D531" i="9" l="1"/>
  <c r="F527" i="9"/>
  <c r="M294" i="9"/>
  <c r="L294" i="9"/>
  <c r="G294" i="9"/>
  <c r="C295" i="9" s="1"/>
  <c r="I294" i="9" l="1"/>
  <c r="E295" i="9"/>
  <c r="J294" i="9"/>
  <c r="F528" i="9"/>
  <c r="D532" i="9"/>
  <c r="F529" i="9" l="1"/>
  <c r="M295" i="9"/>
  <c r="L295" i="9"/>
  <c r="D533" i="9"/>
  <c r="G295" i="9"/>
  <c r="C296" i="9" s="1"/>
  <c r="I295" i="9" l="1"/>
  <c r="E296" i="9"/>
  <c r="G296" i="9" s="1"/>
  <c r="C297" i="9" s="1"/>
  <c r="J295" i="9"/>
  <c r="D534" i="9"/>
  <c r="F530" i="9"/>
  <c r="F531" i="9" l="1"/>
  <c r="D535" i="9"/>
  <c r="M296" i="9"/>
  <c r="L296" i="9"/>
  <c r="E297" i="9"/>
  <c r="G297" i="9" s="1"/>
  <c r="C298" i="9" s="1"/>
  <c r="I296" i="9" l="1"/>
  <c r="E298" i="9"/>
  <c r="J296" i="9"/>
  <c r="D536" i="9"/>
  <c r="M297" i="9"/>
  <c r="L297" i="9"/>
  <c r="F532" i="9"/>
  <c r="I297" i="9" l="1"/>
  <c r="D537" i="9"/>
  <c r="F533" i="9"/>
  <c r="M298" i="9"/>
  <c r="L298" i="9"/>
  <c r="J297" i="9"/>
  <c r="G298" i="9"/>
  <c r="C299" i="9" s="1"/>
  <c r="J298" i="9" l="1"/>
  <c r="S298" i="9"/>
  <c r="AB6" i="8" s="1"/>
  <c r="F534" i="9"/>
  <c r="E299" i="9"/>
  <c r="I298" i="9"/>
  <c r="R298" i="9"/>
  <c r="AB5" i="8" s="1"/>
  <c r="AB41" i="8" s="1"/>
  <c r="D538" i="9"/>
  <c r="M299" i="9" l="1"/>
  <c r="L299" i="9"/>
  <c r="G299" i="9"/>
  <c r="C300" i="9" s="1"/>
  <c r="F535" i="9"/>
  <c r="AB7" i="8"/>
  <c r="D539" i="9"/>
  <c r="AB42" i="8" l="1"/>
  <c r="AB39" i="11"/>
  <c r="AB43" i="11" s="1"/>
  <c r="AB24" i="8"/>
  <c r="AB55" i="8"/>
  <c r="AB29" i="8" s="1"/>
  <c r="F536" i="9"/>
  <c r="E300" i="9"/>
  <c r="G300" i="9" s="1"/>
  <c r="C301" i="9" s="1"/>
  <c r="I299" i="9"/>
  <c r="D540" i="9"/>
  <c r="J299" i="9"/>
  <c r="E301" i="9" l="1"/>
  <c r="F537" i="9"/>
  <c r="AB26" i="8"/>
  <c r="AB25" i="8"/>
  <c r="AB30" i="8"/>
  <c r="D541" i="9"/>
  <c r="M300" i="9"/>
  <c r="L300" i="9"/>
  <c r="AB43" i="8"/>
  <c r="AB45" i="8"/>
  <c r="AB36" i="8" l="1"/>
  <c r="AB31" i="8"/>
  <c r="AB32" i="8"/>
  <c r="AA92" i="4"/>
  <c r="AA94" i="4" s="1"/>
  <c r="AA91" i="4"/>
  <c r="AA97" i="4" s="1"/>
  <c r="AA101" i="4" s="1"/>
  <c r="D542" i="9"/>
  <c r="I300" i="9"/>
  <c r="F538" i="9"/>
  <c r="J300" i="9"/>
  <c r="M301" i="9"/>
  <c r="L301" i="9"/>
  <c r="G301" i="9"/>
  <c r="C302" i="9" s="1"/>
  <c r="I301" i="9" l="1"/>
  <c r="F539" i="9"/>
  <c r="E302" i="9"/>
  <c r="J301" i="9"/>
  <c r="D543" i="9"/>
  <c r="AB38" i="8"/>
  <c r="AB37" i="8"/>
  <c r="AB46" i="8"/>
  <c r="AB48" i="8" s="1"/>
  <c r="AB13" i="7"/>
  <c r="AB15" i="7" l="1"/>
  <c r="AB17" i="7" s="1"/>
  <c r="AB77" i="11" s="1"/>
  <c r="M302" i="9"/>
  <c r="L302" i="9"/>
  <c r="G302" i="9"/>
  <c r="C303" i="9" s="1"/>
  <c r="F540" i="9"/>
  <c r="AC47" i="8"/>
  <c r="AB49" i="8"/>
  <c r="AB51" i="8" s="1"/>
  <c r="AB78" i="11" s="1"/>
  <c r="D544" i="9"/>
  <c r="AC14" i="7" l="1"/>
  <c r="AA99" i="4"/>
  <c r="AB16" i="7"/>
  <c r="AB4" i="11"/>
  <c r="E303" i="9"/>
  <c r="AB3" i="11"/>
  <c r="AB50" i="8"/>
  <c r="AA98" i="4"/>
  <c r="I302" i="9"/>
  <c r="D545" i="9"/>
  <c r="F541" i="9"/>
  <c r="J302" i="9"/>
  <c r="AB5" i="11" l="1"/>
  <c r="AA100" i="4"/>
  <c r="F542" i="9"/>
  <c r="M303" i="9"/>
  <c r="L303" i="9"/>
  <c r="G303" i="9"/>
  <c r="C304" i="9" s="1"/>
  <c r="D546" i="9"/>
  <c r="D547" i="9" l="1"/>
  <c r="E304" i="9"/>
  <c r="G304" i="9" s="1"/>
  <c r="C305" i="9" s="1"/>
  <c r="I303" i="9"/>
  <c r="J303" i="9"/>
  <c r="F543" i="9"/>
  <c r="E305" i="9" l="1"/>
  <c r="F544" i="9"/>
  <c r="D548" i="9"/>
  <c r="M304" i="9"/>
  <c r="L304" i="9"/>
  <c r="J304" i="9" l="1"/>
  <c r="D549" i="9"/>
  <c r="F545" i="9"/>
  <c r="M305" i="9"/>
  <c r="L305" i="9"/>
  <c r="I304" i="9"/>
  <c r="G305" i="9"/>
  <c r="C306" i="9" s="1"/>
  <c r="I305" i="9" l="1"/>
  <c r="J305" i="9"/>
  <c r="F546" i="9"/>
  <c r="D550" i="9"/>
  <c r="E306" i="9"/>
  <c r="G306" i="9" s="1"/>
  <c r="C307" i="9" s="1"/>
  <c r="E307" i="9" l="1"/>
  <c r="D551" i="9"/>
  <c r="M306" i="9"/>
  <c r="L306" i="9"/>
  <c r="F547" i="9"/>
  <c r="I306" i="9" l="1"/>
  <c r="F548" i="9"/>
  <c r="J306" i="9"/>
  <c r="D552" i="9"/>
  <c r="M307" i="9"/>
  <c r="L307" i="9"/>
  <c r="G307" i="9"/>
  <c r="C308" i="9" s="1"/>
  <c r="I307" i="9" l="1"/>
  <c r="E308" i="9"/>
  <c r="F549" i="9"/>
  <c r="J307" i="9"/>
  <c r="D553" i="9"/>
  <c r="D554" i="9" l="1"/>
  <c r="F550" i="9"/>
  <c r="M308" i="9"/>
  <c r="L308" i="9"/>
  <c r="G308" i="9"/>
  <c r="C309" i="9" s="1"/>
  <c r="I308" i="9" l="1"/>
  <c r="F551" i="9"/>
  <c r="E309" i="9"/>
  <c r="J308" i="9"/>
  <c r="D555" i="9"/>
  <c r="D556" i="9" l="1"/>
  <c r="M309" i="9"/>
  <c r="L309" i="9"/>
  <c r="G309" i="9"/>
  <c r="C310" i="9" s="1"/>
  <c r="F552" i="9"/>
  <c r="I309" i="9" l="1"/>
  <c r="J309" i="9"/>
  <c r="F553" i="9"/>
  <c r="E310" i="9"/>
  <c r="G310" i="9" s="1"/>
  <c r="C311" i="9" s="1"/>
  <c r="D557" i="9"/>
  <c r="E311" i="9" l="1"/>
  <c r="D558" i="9"/>
  <c r="F554" i="9"/>
  <c r="M310" i="9"/>
  <c r="L310" i="9"/>
  <c r="J310" i="9" l="1"/>
  <c r="S310" i="9"/>
  <c r="AC6" i="8" s="1"/>
  <c r="M311" i="9"/>
  <c r="L311" i="9"/>
  <c r="I310" i="9"/>
  <c r="R310" i="9"/>
  <c r="AC5" i="8" s="1"/>
  <c r="AC41" i="8" s="1"/>
  <c r="F555" i="9"/>
  <c r="D559" i="9"/>
  <c r="G311" i="9"/>
  <c r="C312" i="9" s="1"/>
  <c r="F556" i="9" l="1"/>
  <c r="I311" i="9"/>
  <c r="J311" i="9"/>
  <c r="AC7" i="8"/>
  <c r="E312" i="9"/>
  <c r="D560" i="9"/>
  <c r="AC42" i="8" l="1"/>
  <c r="D561" i="9"/>
  <c r="M312" i="9"/>
  <c r="L312" i="9"/>
  <c r="F557" i="9"/>
  <c r="AC39" i="11"/>
  <c r="AC43" i="11" s="1"/>
  <c r="AC24" i="8"/>
  <c r="AC55" i="8"/>
  <c r="AC29" i="8" s="1"/>
  <c r="G312" i="9"/>
  <c r="C313" i="9" s="1"/>
  <c r="J312" i="9" l="1"/>
  <c r="F558" i="9"/>
  <c r="I312" i="9"/>
  <c r="D562" i="9"/>
  <c r="E313" i="9"/>
  <c r="AC30" i="8"/>
  <c r="AC25" i="8"/>
  <c r="AC26" i="8"/>
  <c r="AC43" i="8"/>
  <c r="AC45" i="8"/>
  <c r="D563" i="9" l="1"/>
  <c r="F559" i="9"/>
  <c r="AC31" i="8"/>
  <c r="AB91" i="4"/>
  <c r="AB97" i="4" s="1"/>
  <c r="AB101" i="4" s="1"/>
  <c r="AC32" i="8"/>
  <c r="AB92" i="4"/>
  <c r="AB94" i="4" s="1"/>
  <c r="AC36" i="8"/>
  <c r="M313" i="9"/>
  <c r="L313" i="9"/>
  <c r="G313" i="9"/>
  <c r="C314" i="9" s="1"/>
  <c r="F560" i="9" l="1"/>
  <c r="E314" i="9"/>
  <c r="J313" i="9"/>
  <c r="I313" i="9"/>
  <c r="AC38" i="8"/>
  <c r="AC37" i="8"/>
  <c r="AC13" i="7"/>
  <c r="AC46" i="8"/>
  <c r="AC48" i="8" s="1"/>
  <c r="D564" i="9"/>
  <c r="AC15" i="7" l="1"/>
  <c r="M314" i="9"/>
  <c r="L314" i="9"/>
  <c r="G314" i="9"/>
  <c r="C315" i="9" s="1"/>
  <c r="D565" i="9"/>
  <c r="F561" i="9"/>
  <c r="AD47" i="8"/>
  <c r="AC49" i="8"/>
  <c r="AC51" i="8" l="1"/>
  <c r="AC78" i="11" s="1"/>
  <c r="AC17" i="7"/>
  <c r="AC77" i="11" s="1"/>
  <c r="AD14" i="7"/>
  <c r="AC16" i="7"/>
  <c r="AC4" i="11"/>
  <c r="AB99" i="4"/>
  <c r="D566" i="9"/>
  <c r="AC3" i="11"/>
  <c r="AC50" i="8"/>
  <c r="AB98" i="4"/>
  <c r="E315" i="9"/>
  <c r="G315" i="9" s="1"/>
  <c r="C316" i="9" s="1"/>
  <c r="I314" i="9"/>
  <c r="F562" i="9"/>
  <c r="J314" i="9"/>
  <c r="AC5" i="11" l="1"/>
  <c r="AB100" i="4"/>
  <c r="E316" i="9"/>
  <c r="F563" i="9"/>
  <c r="D567" i="9"/>
  <c r="M315" i="9"/>
  <c r="L315" i="9"/>
  <c r="J315" i="9" l="1"/>
  <c r="I315" i="9"/>
  <c r="M316" i="9"/>
  <c r="L316" i="9"/>
  <c r="D568" i="9"/>
  <c r="F564" i="9"/>
  <c r="G316" i="9"/>
  <c r="C317" i="9" s="1"/>
  <c r="I316" i="9" l="1"/>
  <c r="D569" i="9"/>
  <c r="J316" i="9"/>
  <c r="E317" i="9"/>
  <c r="G317" i="9" s="1"/>
  <c r="C318" i="9" s="1"/>
  <c r="F565" i="9"/>
  <c r="E318" i="9" l="1"/>
  <c r="F566" i="9"/>
  <c r="M317" i="9"/>
  <c r="L317" i="9"/>
  <c r="D570" i="9"/>
  <c r="I317" i="9" l="1"/>
  <c r="J317" i="9"/>
  <c r="M318" i="9"/>
  <c r="L318" i="9"/>
  <c r="D571" i="9"/>
  <c r="F567" i="9"/>
  <c r="G318" i="9"/>
  <c r="C319" i="9" s="1"/>
  <c r="J318" i="9" l="1"/>
  <c r="I318" i="9"/>
  <c r="D572" i="9"/>
  <c r="E319" i="9"/>
  <c r="F568" i="9"/>
  <c r="M319" i="9" l="1"/>
  <c r="L319" i="9"/>
  <c r="I319" i="9" s="1"/>
  <c r="F569" i="9"/>
  <c r="D573" i="9"/>
  <c r="G319" i="9"/>
  <c r="C320" i="9" s="1"/>
  <c r="F570" i="9" l="1"/>
  <c r="E320" i="9"/>
  <c r="D574" i="9"/>
  <c r="J319" i="9"/>
  <c r="M320" i="9" l="1"/>
  <c r="L320" i="9"/>
  <c r="I320" i="9" s="1"/>
  <c r="D575" i="9"/>
  <c r="F571" i="9"/>
  <c r="G320" i="9"/>
  <c r="C321" i="9" s="1"/>
  <c r="E321" i="9" l="1"/>
  <c r="F572" i="9"/>
  <c r="D576" i="9"/>
  <c r="J320" i="9"/>
  <c r="F573" i="9" l="1"/>
  <c r="M321" i="9"/>
  <c r="L321" i="9"/>
  <c r="D577" i="9"/>
  <c r="G321" i="9"/>
  <c r="C322" i="9" s="1"/>
  <c r="I321" i="9" l="1"/>
  <c r="E322" i="9"/>
  <c r="F574" i="9"/>
  <c r="D578" i="9"/>
  <c r="J321" i="9"/>
  <c r="D579" i="9" l="1"/>
  <c r="M322" i="9"/>
  <c r="L322" i="9"/>
  <c r="F575" i="9"/>
  <c r="G322" i="9"/>
  <c r="C323" i="9" s="1"/>
  <c r="E323" i="9" l="1"/>
  <c r="F576" i="9"/>
  <c r="J322" i="9"/>
  <c r="S322" i="9"/>
  <c r="AD6" i="8" s="1"/>
  <c r="I322" i="9"/>
  <c r="R322" i="9"/>
  <c r="AD5" i="8" s="1"/>
  <c r="AD41" i="8" s="1"/>
  <c r="D580" i="9"/>
  <c r="AD7" i="8" l="1"/>
  <c r="M323" i="9"/>
  <c r="L323" i="9"/>
  <c r="F577" i="9"/>
  <c r="D581" i="9"/>
  <c r="G323" i="9"/>
  <c r="C324" i="9" s="1"/>
  <c r="D582" i="9" l="1"/>
  <c r="I323" i="9"/>
  <c r="J323" i="9"/>
  <c r="F578" i="9"/>
  <c r="AD42" i="8"/>
  <c r="E324" i="9"/>
  <c r="G324" i="9" s="1"/>
  <c r="C325" i="9" s="1"/>
  <c r="AD55" i="8"/>
  <c r="AD29" i="8" s="1"/>
  <c r="AD24" i="8"/>
  <c r="AD39" i="11"/>
  <c r="AD43" i="11" s="1"/>
  <c r="E325" i="9" l="1"/>
  <c r="F579" i="9"/>
  <c r="AD25" i="8"/>
  <c r="AD26" i="8"/>
  <c r="AD30" i="8"/>
  <c r="D583" i="9"/>
  <c r="M324" i="9"/>
  <c r="L324" i="9"/>
  <c r="AD43" i="8"/>
  <c r="AD45" i="8"/>
  <c r="F580" i="9" l="1"/>
  <c r="M325" i="9"/>
  <c r="L325" i="9"/>
  <c r="AD32" i="8"/>
  <c r="AD36" i="8"/>
  <c r="AC92" i="4"/>
  <c r="AC94" i="4" s="1"/>
  <c r="AD31" i="8"/>
  <c r="AC91" i="4"/>
  <c r="AC97" i="4" s="1"/>
  <c r="AC101" i="4" s="1"/>
  <c r="I324" i="9"/>
  <c r="J324" i="9"/>
  <c r="D584" i="9"/>
  <c r="G325" i="9"/>
  <c r="C326" i="9" s="1"/>
  <c r="I325" i="9" l="1"/>
  <c r="J325" i="9"/>
  <c r="E326" i="9"/>
  <c r="D585" i="9"/>
  <c r="AD38" i="8"/>
  <c r="AD37" i="8"/>
  <c r="AD13" i="7"/>
  <c r="AD46" i="8"/>
  <c r="AD48" i="8" s="1"/>
  <c r="F581" i="9"/>
  <c r="AD15" i="7" l="1"/>
  <c r="AD17" i="7" s="1"/>
  <c r="AD77" i="11" s="1"/>
  <c r="M326" i="9"/>
  <c r="L326" i="9"/>
  <c r="D586" i="9"/>
  <c r="G326" i="9"/>
  <c r="C327" i="9" s="1"/>
  <c r="F582" i="9"/>
  <c r="AE47" i="8"/>
  <c r="AD49" i="8"/>
  <c r="AD51" i="8" s="1"/>
  <c r="AD78" i="11" s="1"/>
  <c r="AE14" i="7" l="1"/>
  <c r="AD4" i="11"/>
  <c r="AC99" i="4"/>
  <c r="AD16" i="7"/>
  <c r="D587" i="9"/>
  <c r="F583" i="9"/>
  <c r="E327" i="9"/>
  <c r="G327" i="9" s="1"/>
  <c r="C328" i="9" s="1"/>
  <c r="I326" i="9"/>
  <c r="AD3" i="11"/>
  <c r="AC98" i="4"/>
  <c r="AD50" i="8"/>
  <c r="J326" i="9"/>
  <c r="AD5" i="11" l="1"/>
  <c r="AC100" i="4"/>
  <c r="M327" i="9"/>
  <c r="L327" i="9"/>
  <c r="F584" i="9"/>
  <c r="D588" i="9"/>
  <c r="E328" i="9"/>
  <c r="G328" i="9" s="1"/>
  <c r="C329" i="9" s="1"/>
  <c r="E329" i="9" l="1"/>
  <c r="D589" i="9"/>
  <c r="F585" i="9"/>
  <c r="I327" i="9"/>
  <c r="M328" i="9"/>
  <c r="L328" i="9"/>
  <c r="J327" i="9"/>
  <c r="I328" i="9" l="1"/>
  <c r="J328" i="9"/>
  <c r="F586" i="9"/>
  <c r="D590" i="9"/>
  <c r="M329" i="9"/>
  <c r="L329" i="9"/>
  <c r="G329" i="9"/>
  <c r="C330" i="9" s="1"/>
  <c r="I329" i="9" l="1"/>
  <c r="J329" i="9"/>
  <c r="D591" i="9"/>
  <c r="E330" i="9"/>
  <c r="G330" i="9" s="1"/>
  <c r="C331" i="9" s="1"/>
  <c r="F587" i="9"/>
  <c r="E331" i="9" l="1"/>
  <c r="F588" i="9"/>
  <c r="D592" i="9"/>
  <c r="M330" i="9"/>
  <c r="L330" i="9"/>
  <c r="I330" i="9" l="1"/>
  <c r="M331" i="9"/>
  <c r="L331" i="9"/>
  <c r="J330" i="9"/>
  <c r="D593" i="9"/>
  <c r="F589" i="9"/>
  <c r="G331" i="9"/>
  <c r="C332" i="9" s="1"/>
  <c r="J331" i="9" l="1"/>
  <c r="F590" i="9"/>
  <c r="D594" i="9"/>
  <c r="I331" i="9"/>
  <c r="E332" i="9"/>
  <c r="M332" i="9" l="1"/>
  <c r="L332" i="9"/>
  <c r="I332" i="9" s="1"/>
  <c r="G332" i="9"/>
  <c r="C333" i="9" s="1"/>
  <c r="D595" i="9"/>
  <c r="F591" i="9"/>
  <c r="E333" i="9" l="1"/>
  <c r="F592" i="9"/>
  <c r="D596" i="9"/>
  <c r="J332" i="9"/>
  <c r="M333" i="9" l="1"/>
  <c r="L333" i="9"/>
  <c r="D597" i="9"/>
  <c r="F593" i="9"/>
  <c r="G333" i="9"/>
  <c r="C334" i="9" s="1"/>
  <c r="I333" i="9" l="1"/>
  <c r="E334" i="9"/>
  <c r="F594" i="9"/>
  <c r="D598" i="9"/>
  <c r="J333" i="9"/>
  <c r="M334" i="9" l="1"/>
  <c r="L334" i="9"/>
  <c r="D599" i="9"/>
  <c r="F595" i="9"/>
  <c r="G334" i="9"/>
  <c r="C335" i="9" s="1"/>
  <c r="E335" i="9" l="1"/>
  <c r="F596" i="9"/>
  <c r="I334" i="9"/>
  <c r="R334" i="9"/>
  <c r="AE5" i="8" s="1"/>
  <c r="AE41" i="8" s="1"/>
  <c r="D600" i="9"/>
  <c r="J334" i="9"/>
  <c r="S334" i="9"/>
  <c r="AE6" i="8" s="1"/>
  <c r="D601" i="9" l="1"/>
  <c r="M335" i="9"/>
  <c r="L335" i="9"/>
  <c r="AE7" i="8"/>
  <c r="F597" i="9"/>
  <c r="G335" i="9"/>
  <c r="C336" i="9" s="1"/>
  <c r="AE42" i="8" l="1"/>
  <c r="I335" i="9"/>
  <c r="J335" i="9"/>
  <c r="F598" i="9"/>
  <c r="AE55" i="8"/>
  <c r="AE29" i="8" s="1"/>
  <c r="AE39" i="11"/>
  <c r="AE43" i="11" s="1"/>
  <c r="AE24" i="8"/>
  <c r="E336" i="9"/>
  <c r="D602" i="9"/>
  <c r="M336" i="9" l="1"/>
  <c r="L336" i="9"/>
  <c r="AE25" i="8"/>
  <c r="AE26" i="8"/>
  <c r="AE30" i="8"/>
  <c r="F599" i="9"/>
  <c r="G336" i="9"/>
  <c r="C337" i="9" s="1"/>
  <c r="D603" i="9"/>
  <c r="AE43" i="8"/>
  <c r="AE45" i="8"/>
  <c r="F600" i="9" l="1"/>
  <c r="E337" i="9"/>
  <c r="G337" i="9" s="1"/>
  <c r="C338" i="9" s="1"/>
  <c r="I336" i="9"/>
  <c r="AE31" i="8"/>
  <c r="AD91" i="4"/>
  <c r="AD97" i="4" s="1"/>
  <c r="AD101" i="4" s="1"/>
  <c r="AE32" i="8"/>
  <c r="AD92" i="4"/>
  <c r="AD94" i="4" s="1"/>
  <c r="AE36" i="8"/>
  <c r="D604" i="9"/>
  <c r="J336" i="9"/>
  <c r="D605" i="9" l="1"/>
  <c r="E338" i="9"/>
  <c r="F601" i="9"/>
  <c r="M337" i="9"/>
  <c r="L337" i="9"/>
  <c r="AE38" i="8"/>
  <c r="AE37" i="8"/>
  <c r="AE46" i="8"/>
  <c r="AE48" i="8" s="1"/>
  <c r="AE13" i="7"/>
  <c r="AE15" i="7" l="1"/>
  <c r="AE17" i="7" s="1"/>
  <c r="AE77" i="11" s="1"/>
  <c r="J337" i="9"/>
  <c r="F602" i="9"/>
  <c r="M338" i="9"/>
  <c r="L338" i="9"/>
  <c r="G338" i="9"/>
  <c r="C339" i="9" s="1"/>
  <c r="AF14" i="7"/>
  <c r="D606" i="9"/>
  <c r="I337" i="9"/>
  <c r="AF47" i="8"/>
  <c r="AE49" i="8"/>
  <c r="AE51" i="8" s="1"/>
  <c r="AE78" i="11" s="1"/>
  <c r="AE4" i="11" l="1"/>
  <c r="AE16" i="7"/>
  <c r="AD99" i="4"/>
  <c r="I338" i="9"/>
  <c r="E339" i="9"/>
  <c r="J338" i="9"/>
  <c r="F603" i="9"/>
  <c r="D607" i="9"/>
  <c r="AE3" i="11"/>
  <c r="AE50" i="8"/>
  <c r="AD98" i="4"/>
  <c r="AE5" i="11" l="1"/>
  <c r="AD100" i="4"/>
  <c r="D608" i="9"/>
  <c r="F604" i="9"/>
  <c r="M339" i="9"/>
  <c r="L339" i="9"/>
  <c r="G339" i="9"/>
  <c r="C340" i="9" s="1"/>
  <c r="I339" i="9" l="1"/>
  <c r="E340" i="9"/>
  <c r="G340" i="9" s="1"/>
  <c r="C341" i="9" s="1"/>
  <c r="J339" i="9"/>
  <c r="F605" i="9"/>
  <c r="D609" i="9"/>
  <c r="E341" i="9" l="1"/>
  <c r="F606" i="9"/>
  <c r="M340" i="9"/>
  <c r="L340" i="9"/>
  <c r="D610" i="9"/>
  <c r="I340" i="9" l="1"/>
  <c r="M341" i="9"/>
  <c r="L341" i="9"/>
  <c r="J340" i="9"/>
  <c r="F607" i="9"/>
  <c r="G341" i="9"/>
  <c r="C342" i="9" s="1"/>
  <c r="I341" i="9" l="1"/>
  <c r="E342" i="9"/>
  <c r="F608" i="9"/>
  <c r="J341" i="9"/>
  <c r="M342" i="9" l="1"/>
  <c r="L342" i="9"/>
  <c r="F609" i="9"/>
  <c r="G342" i="9"/>
  <c r="C343" i="9" s="1"/>
  <c r="I342" i="9" l="1"/>
  <c r="F610" i="9"/>
  <c r="E343" i="9"/>
  <c r="J342" i="9"/>
  <c r="M343" i="9" l="1"/>
  <c r="L343" i="9"/>
  <c r="G343" i="9"/>
  <c r="C344" i="9" s="1"/>
  <c r="I343" i="9" l="1"/>
  <c r="E344" i="9"/>
  <c r="J343" i="9"/>
  <c r="M344" i="9" l="1"/>
  <c r="L344" i="9"/>
  <c r="I344" i="9" s="1"/>
  <c r="G344" i="9"/>
  <c r="C345" i="9" s="1"/>
  <c r="E345" i="9" l="1"/>
  <c r="J344" i="9"/>
  <c r="M345" i="9" l="1"/>
  <c r="L345" i="9"/>
  <c r="I345" i="9" s="1"/>
  <c r="G345" i="9"/>
  <c r="C346" i="9" s="1"/>
  <c r="E346" i="9" l="1"/>
  <c r="J345" i="9"/>
  <c r="M346" i="9" l="1"/>
  <c r="L346" i="9"/>
  <c r="G346" i="9"/>
  <c r="C347" i="9" s="1"/>
  <c r="E347" i="9" l="1"/>
  <c r="I346" i="9"/>
  <c r="R346" i="9"/>
  <c r="AF5" i="8" s="1"/>
  <c r="AF41" i="8" s="1"/>
  <c r="J346" i="9"/>
  <c r="S346" i="9"/>
  <c r="AF6" i="8" s="1"/>
  <c r="AF7" i="8" l="1"/>
  <c r="M347" i="9"/>
  <c r="L347" i="9"/>
  <c r="G347" i="9"/>
  <c r="C348" i="9" s="1"/>
  <c r="I347" i="9" l="1"/>
  <c r="E348" i="9"/>
  <c r="AF42" i="8"/>
  <c r="J347" i="9"/>
  <c r="AF55" i="8"/>
  <c r="AF29" i="8" s="1"/>
  <c r="AF24" i="8"/>
  <c r="AF39" i="11"/>
  <c r="AF43" i="11" s="1"/>
  <c r="M348" i="9" l="1"/>
  <c r="L348" i="9"/>
  <c r="G348" i="9"/>
  <c r="C349" i="9" s="1"/>
  <c r="AF25" i="8"/>
  <c r="AF26" i="8"/>
  <c r="AF30" i="8"/>
  <c r="AF45" i="8"/>
  <c r="AF43" i="8"/>
  <c r="AE92" i="4" l="1"/>
  <c r="AE94" i="4" s="1"/>
  <c r="AE91" i="4"/>
  <c r="AE97" i="4" s="1"/>
  <c r="AE101" i="4" s="1"/>
  <c r="E349" i="9"/>
  <c r="I348" i="9"/>
  <c r="AF36" i="8"/>
  <c r="AF32" i="8"/>
  <c r="AF31" i="8"/>
  <c r="J348" i="9"/>
  <c r="AF37" i="8" l="1"/>
  <c r="AF38" i="8"/>
  <c r="AF46" i="8"/>
  <c r="AF48" i="8" s="1"/>
  <c r="AF13" i="7"/>
  <c r="M349" i="9"/>
  <c r="L349" i="9"/>
  <c r="G349" i="9"/>
  <c r="C350" i="9" s="1"/>
  <c r="AF15" i="7" l="1"/>
  <c r="AG47" i="8"/>
  <c r="AF49" i="8"/>
  <c r="I349" i="9"/>
  <c r="J349" i="9"/>
  <c r="E350" i="9"/>
  <c r="AF51" i="8" l="1"/>
  <c r="AF78" i="11" s="1"/>
  <c r="AE98" i="4"/>
  <c r="AF17" i="7"/>
  <c r="AF77" i="11" s="1"/>
  <c r="AE99" i="4"/>
  <c r="AG14" i="7"/>
  <c r="AF16" i="7"/>
  <c r="AF4" i="11"/>
  <c r="AF3" i="11"/>
  <c r="AF50" i="8"/>
  <c r="M350" i="9"/>
  <c r="L350" i="9"/>
  <c r="G350" i="9"/>
  <c r="C351" i="9" s="1"/>
  <c r="AE100" i="4" l="1"/>
  <c r="AF5" i="11"/>
  <c r="I350" i="9"/>
  <c r="E351" i="9"/>
  <c r="J350" i="9"/>
  <c r="M351" i="9" l="1"/>
  <c r="L351" i="9"/>
  <c r="G351" i="9"/>
  <c r="C352" i="9" s="1"/>
  <c r="I351" i="9" l="1"/>
  <c r="E352" i="9"/>
  <c r="J351" i="9"/>
  <c r="M352" i="9" l="1"/>
  <c r="L352" i="9"/>
  <c r="G352" i="9"/>
  <c r="C353" i="9" s="1"/>
  <c r="I352" i="9" l="1"/>
  <c r="E353" i="9"/>
  <c r="J352" i="9"/>
  <c r="M353" i="9" l="1"/>
  <c r="L353" i="9"/>
  <c r="G353" i="9"/>
  <c r="C354" i="9" s="1"/>
  <c r="I353" i="9" l="1"/>
  <c r="E354" i="9"/>
  <c r="J353" i="9"/>
  <c r="M354" i="9" l="1"/>
  <c r="L354" i="9"/>
  <c r="I354" i="9" s="1"/>
  <c r="G354" i="9"/>
  <c r="C355" i="9" s="1"/>
  <c r="E355" i="9" l="1"/>
  <c r="J354" i="9"/>
  <c r="M355" i="9" l="1"/>
  <c r="L355" i="9"/>
  <c r="I355" i="9" s="1"/>
  <c r="G355" i="9"/>
  <c r="C356" i="9" s="1"/>
  <c r="E356" i="9" l="1"/>
  <c r="J355" i="9"/>
  <c r="M356" i="9" l="1"/>
  <c r="L356" i="9"/>
  <c r="I356" i="9" s="1"/>
  <c r="G356" i="9"/>
  <c r="C357" i="9" s="1"/>
  <c r="E357" i="9" l="1"/>
  <c r="J356" i="9"/>
  <c r="M357" i="9" l="1"/>
  <c r="L357" i="9"/>
  <c r="G357" i="9"/>
  <c r="C358" i="9" s="1"/>
  <c r="I357" i="9" l="1"/>
  <c r="E358" i="9"/>
  <c r="J357" i="9"/>
  <c r="M358" i="9" l="1"/>
  <c r="L358" i="9"/>
  <c r="G358" i="9"/>
  <c r="C359" i="9" s="1"/>
  <c r="I358" i="9" l="1"/>
  <c r="R358" i="9"/>
  <c r="AG5" i="8" s="1"/>
  <c r="AG41" i="8" s="1"/>
  <c r="E359" i="9"/>
  <c r="J358" i="9"/>
  <c r="S358" i="9"/>
  <c r="AG6" i="8" s="1"/>
  <c r="AG7" i="8" l="1"/>
  <c r="M359" i="9"/>
  <c r="L359" i="9"/>
  <c r="G359" i="9"/>
  <c r="C360" i="9" s="1"/>
  <c r="I359" i="9" l="1"/>
  <c r="E360" i="9"/>
  <c r="AG42" i="8"/>
  <c r="J359" i="9"/>
  <c r="AG24" i="8"/>
  <c r="AG39" i="11"/>
  <c r="AG43" i="11" s="1"/>
  <c r="AG55" i="8"/>
  <c r="AG29" i="8" s="1"/>
  <c r="M360" i="9" l="1"/>
  <c r="L360" i="9"/>
  <c r="G360" i="9"/>
  <c r="C361" i="9" s="1"/>
  <c r="AG45" i="8"/>
  <c r="AG43" i="8"/>
  <c r="AG25" i="8"/>
  <c r="AG30" i="8"/>
  <c r="AG26" i="8"/>
  <c r="AF91" i="4" l="1"/>
  <c r="AF97" i="4" s="1"/>
  <c r="AF101" i="4" s="1"/>
  <c r="AF92" i="4"/>
  <c r="AF94" i="4" s="1"/>
  <c r="E361" i="9"/>
  <c r="I360" i="9"/>
  <c r="AG31" i="8"/>
  <c r="AG36" i="8"/>
  <c r="AG32" i="8"/>
  <c r="J360" i="9"/>
  <c r="M361" i="9" l="1"/>
  <c r="L361" i="9"/>
  <c r="AG38" i="8"/>
  <c r="AG37" i="8"/>
  <c r="AG13" i="7"/>
  <c r="AG46" i="8"/>
  <c r="AG48" i="8" s="1"/>
  <c r="G361" i="9"/>
  <c r="C362" i="9" s="1"/>
  <c r="AG15" i="7" l="1"/>
  <c r="AH47" i="8"/>
  <c r="AG49" i="8"/>
  <c r="I361" i="9"/>
  <c r="E362" i="9"/>
  <c r="J361" i="9"/>
  <c r="AG51" i="8" l="1"/>
  <c r="AG78" i="11" s="1"/>
  <c r="AF98" i="4"/>
  <c r="AG17" i="7"/>
  <c r="AG77" i="11" s="1"/>
  <c r="AF99" i="4"/>
  <c r="AH14" i="7"/>
  <c r="AG16" i="7"/>
  <c r="AG4" i="11"/>
  <c r="AG3" i="11"/>
  <c r="AG50" i="8"/>
  <c r="M362" i="9"/>
  <c r="L362" i="9"/>
  <c r="G362" i="9"/>
  <c r="C363" i="9" s="1"/>
  <c r="AF100" i="4" l="1"/>
  <c r="AG5" i="11"/>
  <c r="E363" i="9"/>
  <c r="J362" i="9"/>
  <c r="I362" i="9"/>
  <c r="M363" i="9" l="1"/>
  <c r="L363" i="9"/>
  <c r="G363" i="9"/>
  <c r="C364" i="9" s="1"/>
  <c r="I363" i="9" l="1"/>
  <c r="E364" i="9"/>
  <c r="J363" i="9"/>
  <c r="M364" i="9" l="1"/>
  <c r="L364" i="9"/>
  <c r="I364" i="9" s="1"/>
  <c r="G364" i="9"/>
  <c r="C365" i="9" s="1"/>
  <c r="E365" i="9" l="1"/>
  <c r="J364" i="9"/>
  <c r="M365" i="9" l="1"/>
  <c r="L365" i="9"/>
  <c r="G365" i="9"/>
  <c r="C366" i="9" s="1"/>
  <c r="I365" i="9" l="1"/>
  <c r="E366" i="9"/>
  <c r="J365" i="9"/>
  <c r="M366" i="9" l="1"/>
  <c r="L366" i="9"/>
  <c r="I366" i="9" s="1"/>
  <c r="G366" i="9"/>
  <c r="C367" i="9" s="1"/>
  <c r="E367" i="9" l="1"/>
  <c r="J366" i="9"/>
  <c r="M367" i="9" l="1"/>
  <c r="L367" i="9"/>
  <c r="I367" i="9" s="1"/>
  <c r="G367" i="9"/>
  <c r="C368" i="9" s="1"/>
  <c r="E368" i="9" l="1"/>
  <c r="J367" i="9"/>
  <c r="M368" i="9" l="1"/>
  <c r="L368" i="9"/>
  <c r="G368" i="9"/>
  <c r="C369" i="9" s="1"/>
  <c r="I368" i="9" l="1"/>
  <c r="E369" i="9"/>
  <c r="J368" i="9"/>
  <c r="M369" i="9" l="1"/>
  <c r="L369" i="9"/>
  <c r="I369" i="9" s="1"/>
  <c r="G369" i="9"/>
  <c r="C370" i="9" s="1"/>
  <c r="E370" i="9" l="1"/>
  <c r="J369" i="9"/>
  <c r="M370" i="9" l="1"/>
  <c r="L370" i="9"/>
  <c r="G370" i="9"/>
  <c r="C371" i="9" s="1"/>
  <c r="I370" i="9" l="1"/>
  <c r="R370" i="9"/>
  <c r="AH5" i="8" s="1"/>
  <c r="AH41" i="8" s="1"/>
  <c r="E371" i="9"/>
  <c r="J370" i="9"/>
  <c r="S370" i="9"/>
  <c r="AH6" i="8" s="1"/>
  <c r="AH7" i="8" l="1"/>
  <c r="M371" i="9"/>
  <c r="L371" i="9"/>
  <c r="G371" i="9"/>
  <c r="C372" i="9" s="1"/>
  <c r="I371" i="9" l="1"/>
  <c r="J371" i="9"/>
  <c r="E372" i="9"/>
  <c r="G372" i="9" s="1"/>
  <c r="C373" i="9" s="1"/>
  <c r="AH42" i="8"/>
  <c r="AH24" i="8"/>
  <c r="AH39" i="11"/>
  <c r="AH43" i="11" s="1"/>
  <c r="AH55" i="8"/>
  <c r="AH29" i="8" s="1"/>
  <c r="E373" i="9" l="1"/>
  <c r="AH45" i="8"/>
  <c r="AH43" i="8"/>
  <c r="M372" i="9"/>
  <c r="L372" i="9"/>
  <c r="AH30" i="8"/>
  <c r="AH25" i="8"/>
  <c r="AH26" i="8"/>
  <c r="AG92" i="4" l="1"/>
  <c r="AG94" i="4" s="1"/>
  <c r="AG91" i="4"/>
  <c r="AG97" i="4" s="1"/>
  <c r="AG101" i="4" s="1"/>
  <c r="I372" i="9"/>
  <c r="AH31" i="8"/>
  <c r="AH36" i="8"/>
  <c r="AH32" i="8"/>
  <c r="J372" i="9"/>
  <c r="M373" i="9"/>
  <c r="L373" i="9"/>
  <c r="G373" i="9"/>
  <c r="C374" i="9" s="1"/>
  <c r="I373" i="9" l="1"/>
  <c r="AH37" i="8"/>
  <c r="AH38" i="8"/>
  <c r="AH13" i="7"/>
  <c r="AH46" i="8"/>
  <c r="AH48" i="8" s="1"/>
  <c r="E374" i="9"/>
  <c r="G374" i="9" s="1"/>
  <c r="C375" i="9" s="1"/>
  <c r="J373" i="9"/>
  <c r="AH15" i="7" l="1"/>
  <c r="E375" i="9"/>
  <c r="G375" i="9" s="1"/>
  <c r="C376" i="9" s="1"/>
  <c r="M374" i="9"/>
  <c r="L374" i="9"/>
  <c r="AI47" i="8"/>
  <c r="AH49" i="8"/>
  <c r="J4" i="4" s="1"/>
  <c r="K8" i="4" l="1"/>
  <c r="K4" i="4"/>
  <c r="C63" i="4" s="1"/>
  <c r="AH51" i="8"/>
  <c r="AH78" i="11" s="1"/>
  <c r="AG98" i="4"/>
  <c r="AH17" i="7"/>
  <c r="AH77" i="11" s="1"/>
  <c r="AG99" i="4"/>
  <c r="AI14" i="7"/>
  <c r="AH16" i="7"/>
  <c r="AH4" i="11"/>
  <c r="M375" i="9"/>
  <c r="L375" i="9"/>
  <c r="J374" i="9"/>
  <c r="AH3" i="11"/>
  <c r="AH50" i="8"/>
  <c r="I374" i="9"/>
  <c r="E376" i="9"/>
  <c r="AG46" i="4" l="1"/>
  <c r="AG20" i="4"/>
  <c r="AG53" i="4"/>
  <c r="AG11" i="4"/>
  <c r="AG66" i="4"/>
  <c r="AG28" i="4"/>
  <c r="AG100" i="4"/>
  <c r="AH5" i="11"/>
  <c r="I375" i="9"/>
  <c r="J375" i="9"/>
  <c r="M376" i="9"/>
  <c r="L376" i="9"/>
  <c r="G376" i="9"/>
  <c r="C377" i="9" s="1"/>
  <c r="I376" i="9" l="1"/>
  <c r="E377" i="9"/>
  <c r="J376" i="9"/>
  <c r="M377" i="9" l="1"/>
  <c r="L377" i="9"/>
  <c r="I377" i="9" s="1"/>
  <c r="G377" i="9"/>
  <c r="C378" i="9" s="1"/>
  <c r="E378" i="9" l="1"/>
  <c r="J377" i="9"/>
  <c r="M378" i="9" l="1"/>
  <c r="L378" i="9"/>
  <c r="I378" i="9" s="1"/>
  <c r="G378" i="9"/>
  <c r="C379" i="9" s="1"/>
  <c r="E379" i="9" l="1"/>
  <c r="J378" i="9"/>
  <c r="M379" i="9" l="1"/>
  <c r="L379" i="9"/>
  <c r="I379" i="9" s="1"/>
  <c r="G379" i="9"/>
  <c r="C380" i="9" s="1"/>
  <c r="E380" i="9" l="1"/>
  <c r="J379" i="9"/>
  <c r="M380" i="9" l="1"/>
  <c r="L380" i="9"/>
  <c r="I380" i="9" s="1"/>
  <c r="G380" i="9"/>
  <c r="C381" i="9" s="1"/>
  <c r="E381" i="9" l="1"/>
  <c r="J380" i="9"/>
  <c r="M381" i="9" l="1"/>
  <c r="L381" i="9"/>
  <c r="I381" i="9" s="1"/>
  <c r="G381" i="9"/>
  <c r="C382" i="9" s="1"/>
  <c r="E382" i="9" l="1"/>
  <c r="J381" i="9"/>
  <c r="M382" i="9" l="1"/>
  <c r="L382" i="9"/>
  <c r="G382" i="9"/>
  <c r="C383" i="9" s="1"/>
  <c r="I382" i="9" l="1"/>
  <c r="R382" i="9"/>
  <c r="AI5" i="8" s="1"/>
  <c r="AI41" i="8" s="1"/>
  <c r="E383" i="9"/>
  <c r="J382" i="9"/>
  <c r="S382" i="9"/>
  <c r="AI6" i="8" s="1"/>
  <c r="AI7" i="8" l="1"/>
  <c r="M383" i="9"/>
  <c r="L383" i="9"/>
  <c r="G383" i="9"/>
  <c r="C384" i="9" s="1"/>
  <c r="E384" i="9" l="1"/>
  <c r="J383" i="9"/>
  <c r="AI42" i="8"/>
  <c r="I383" i="9"/>
  <c r="AI39" i="11"/>
  <c r="AI43" i="11" s="1"/>
  <c r="AI24" i="8"/>
  <c r="AI55" i="8"/>
  <c r="AI29" i="8" s="1"/>
  <c r="AI30" i="8" l="1"/>
  <c r="AI25" i="8"/>
  <c r="AI26" i="8"/>
  <c r="M384" i="9"/>
  <c r="L384" i="9"/>
  <c r="AI43" i="8"/>
  <c r="AI45" i="8"/>
  <c r="G384" i="9"/>
  <c r="C385" i="9" s="1"/>
  <c r="AH91" i="4" l="1"/>
  <c r="AH97" i="4" s="1"/>
  <c r="AH101" i="4" s="1"/>
  <c r="AH92" i="4"/>
  <c r="I384" i="9"/>
  <c r="J384" i="9"/>
  <c r="E385" i="9"/>
  <c r="AI32" i="8"/>
  <c r="AI36" i="8"/>
  <c r="AI31" i="8"/>
  <c r="M385" i="9" l="1"/>
  <c r="L385" i="9"/>
  <c r="G385" i="9"/>
  <c r="C386" i="9" s="1"/>
  <c r="AI38" i="8"/>
  <c r="AI37" i="8"/>
  <c r="AI46" i="8"/>
  <c r="AI48" i="8" s="1"/>
  <c r="AI13" i="7"/>
  <c r="AI15" i="7" l="1"/>
  <c r="AJ47" i="8"/>
  <c r="AI49" i="8"/>
  <c r="E386" i="9"/>
  <c r="G386" i="9" s="1"/>
  <c r="C387" i="9" s="1"/>
  <c r="I385" i="9"/>
  <c r="AJ14" i="7"/>
  <c r="J385" i="9"/>
  <c r="AI51" i="8" l="1"/>
  <c r="AI78" i="11" s="1"/>
  <c r="AH98" i="4"/>
  <c r="AI17" i="7"/>
  <c r="AI77" i="11" s="1"/>
  <c r="AH99" i="4"/>
  <c r="AI16" i="7"/>
  <c r="AI4" i="11"/>
  <c r="M386" i="9"/>
  <c r="L386" i="9"/>
  <c r="E387" i="9"/>
  <c r="AI3" i="11"/>
  <c r="AI50" i="8"/>
  <c r="AH100" i="4" l="1"/>
  <c r="AI5" i="11"/>
  <c r="M387" i="9"/>
  <c r="L387" i="9"/>
  <c r="G387" i="9"/>
  <c r="C388" i="9" s="1"/>
  <c r="I386" i="9"/>
  <c r="J386" i="9"/>
  <c r="I387" i="9" l="1"/>
  <c r="E388" i="9"/>
  <c r="J387" i="9"/>
  <c r="M388" i="9" l="1"/>
  <c r="L388" i="9"/>
  <c r="G388" i="9"/>
  <c r="C389" i="9" s="1"/>
  <c r="I388" i="9" l="1"/>
  <c r="E389" i="9"/>
  <c r="J388" i="9"/>
  <c r="M389" i="9" l="1"/>
  <c r="L389" i="9"/>
  <c r="I389" i="9" s="1"/>
  <c r="G389" i="9"/>
  <c r="C390" i="9" s="1"/>
  <c r="E390" i="9" l="1"/>
  <c r="J389" i="9"/>
  <c r="M390" i="9" l="1"/>
  <c r="L390" i="9"/>
  <c r="I390" i="9" s="1"/>
  <c r="G390" i="9"/>
  <c r="C391" i="9" s="1"/>
  <c r="E391" i="9" l="1"/>
  <c r="J390" i="9"/>
  <c r="M391" i="9" l="1"/>
  <c r="L391" i="9"/>
  <c r="G391" i="9"/>
  <c r="C392" i="9" s="1"/>
  <c r="J391" i="9" l="1"/>
  <c r="E392" i="9"/>
  <c r="I391" i="9"/>
  <c r="M392" i="9" l="1"/>
  <c r="L392" i="9"/>
  <c r="G392" i="9"/>
  <c r="C393" i="9" s="1"/>
  <c r="J392" i="9" l="1"/>
  <c r="E393" i="9"/>
  <c r="I392" i="9"/>
  <c r="M393" i="9" l="1"/>
  <c r="L393" i="9"/>
  <c r="I393" i="9" s="1"/>
  <c r="G393" i="9"/>
  <c r="C394" i="9" s="1"/>
  <c r="E394" i="9" l="1"/>
  <c r="J393" i="9"/>
  <c r="M394" i="9" l="1"/>
  <c r="L394" i="9"/>
  <c r="G394" i="9"/>
  <c r="C395" i="9" s="1"/>
  <c r="I394" i="9" l="1"/>
  <c r="R394" i="9"/>
  <c r="AJ5" i="8" s="1"/>
  <c r="AJ41" i="8" s="1"/>
  <c r="E395" i="9"/>
  <c r="J394" i="9"/>
  <c r="S394" i="9"/>
  <c r="AJ6" i="8" s="1"/>
  <c r="AJ7" i="8" l="1"/>
  <c r="M395" i="9"/>
  <c r="L395" i="9"/>
  <c r="G395" i="9"/>
  <c r="C396" i="9" s="1"/>
  <c r="I395" i="9" l="1"/>
  <c r="E396" i="9"/>
  <c r="AJ42" i="8"/>
  <c r="J395" i="9"/>
  <c r="AJ39" i="11"/>
  <c r="AJ43" i="11" s="1"/>
  <c r="AJ55" i="8"/>
  <c r="AJ29" i="8" s="1"/>
  <c r="AJ24" i="8"/>
  <c r="M396" i="9" l="1"/>
  <c r="L396" i="9"/>
  <c r="G396" i="9"/>
  <c r="C397" i="9" s="1"/>
  <c r="AJ45" i="8"/>
  <c r="AJ43" i="8"/>
  <c r="AJ30" i="8"/>
  <c r="AJ25" i="8"/>
  <c r="AJ26" i="8"/>
  <c r="AI91" i="4" l="1"/>
  <c r="AI97" i="4" s="1"/>
  <c r="AI101" i="4" s="1"/>
  <c r="AI92" i="4"/>
  <c r="E397" i="9"/>
  <c r="AJ31" i="8"/>
  <c r="AJ36" i="8"/>
  <c r="AJ32" i="8"/>
  <c r="I396" i="9"/>
  <c r="J396" i="9"/>
  <c r="M397" i="9" l="1"/>
  <c r="L397" i="9"/>
  <c r="AJ38" i="8"/>
  <c r="AJ37" i="8"/>
  <c r="AJ13" i="7"/>
  <c r="AJ46" i="8"/>
  <c r="AJ48" i="8" s="1"/>
  <c r="G397" i="9"/>
  <c r="C398" i="9" s="1"/>
  <c r="AJ15" i="7" l="1"/>
  <c r="I397" i="9"/>
  <c r="AK47" i="8"/>
  <c r="AJ49" i="8"/>
  <c r="E398" i="9"/>
  <c r="J397" i="9"/>
  <c r="AJ51" i="8" l="1"/>
  <c r="AJ78" i="11" s="1"/>
  <c r="AI98" i="4"/>
  <c r="AJ17" i="7"/>
  <c r="AJ77" i="11" s="1"/>
  <c r="AI99" i="4"/>
  <c r="AK14" i="7"/>
  <c r="AJ16" i="7"/>
  <c r="AJ4" i="11"/>
  <c r="M398" i="9"/>
  <c r="L398" i="9"/>
  <c r="G398" i="9"/>
  <c r="C399" i="9" s="1"/>
  <c r="AJ3" i="11"/>
  <c r="AJ50" i="8"/>
  <c r="AI100" i="4" l="1"/>
  <c r="AJ5" i="11"/>
  <c r="E399" i="9"/>
  <c r="I398" i="9"/>
  <c r="J398" i="9"/>
  <c r="M399" i="9" l="1"/>
  <c r="L399" i="9"/>
  <c r="G399" i="9"/>
  <c r="C400" i="9" s="1"/>
  <c r="I399" i="9" l="1"/>
  <c r="E400" i="9"/>
  <c r="J399" i="9"/>
  <c r="M400" i="9" l="1"/>
  <c r="L400" i="9"/>
  <c r="I400" i="9" s="1"/>
  <c r="G400" i="9"/>
  <c r="C401" i="9" s="1"/>
  <c r="E401" i="9" l="1"/>
  <c r="J400" i="9"/>
  <c r="M401" i="9" l="1"/>
  <c r="L401" i="9"/>
  <c r="I401" i="9" s="1"/>
  <c r="G401" i="9"/>
  <c r="C402" i="9" s="1"/>
  <c r="E402" i="9" l="1"/>
  <c r="J401" i="9"/>
  <c r="M402" i="9" l="1"/>
  <c r="L402" i="9"/>
  <c r="I402" i="9" s="1"/>
  <c r="G402" i="9"/>
  <c r="C403" i="9" s="1"/>
  <c r="E403" i="9" l="1"/>
  <c r="J402" i="9"/>
  <c r="M403" i="9" l="1"/>
  <c r="L403" i="9"/>
  <c r="G403" i="9"/>
  <c r="C404" i="9" s="1"/>
  <c r="I403" i="9" l="1"/>
  <c r="E404" i="9"/>
  <c r="J403" i="9"/>
  <c r="M404" i="9" l="1"/>
  <c r="L404" i="9"/>
  <c r="G404" i="9"/>
  <c r="C405" i="9" s="1"/>
  <c r="I404" i="9" l="1"/>
  <c r="E405" i="9"/>
  <c r="J404" i="9"/>
  <c r="M405" i="9" l="1"/>
  <c r="L405" i="9"/>
  <c r="I405" i="9" s="1"/>
  <c r="G405" i="9"/>
  <c r="C406" i="9" s="1"/>
  <c r="E406" i="9" l="1"/>
  <c r="J405" i="9"/>
  <c r="M406" i="9" l="1"/>
  <c r="L406" i="9"/>
  <c r="G406" i="9"/>
  <c r="C407" i="9" s="1"/>
  <c r="I406" i="9" l="1"/>
  <c r="R406" i="9"/>
  <c r="AK5" i="8" s="1"/>
  <c r="AK41" i="8" s="1"/>
  <c r="E407" i="9"/>
  <c r="J406" i="9"/>
  <c r="S406" i="9"/>
  <c r="AK6" i="8" s="1"/>
  <c r="M407" i="9" l="1"/>
  <c r="L407" i="9"/>
  <c r="AK7" i="8"/>
  <c r="G407" i="9"/>
  <c r="C408" i="9" s="1"/>
  <c r="AK39" i="11" l="1"/>
  <c r="AK43" i="11" s="1"/>
  <c r="AK55" i="8"/>
  <c r="AK29" i="8" s="1"/>
  <c r="AK24" i="8"/>
  <c r="E408" i="9"/>
  <c r="I407" i="9"/>
  <c r="AK42" i="8"/>
  <c r="J407" i="9"/>
  <c r="M408" i="9" l="1"/>
  <c r="L408" i="9"/>
  <c r="G408" i="9"/>
  <c r="C409" i="9" s="1"/>
  <c r="AK30" i="8"/>
  <c r="AK25" i="8"/>
  <c r="AK26" i="8"/>
  <c r="AK43" i="8"/>
  <c r="AK45" i="8"/>
  <c r="AJ91" i="4" l="1"/>
  <c r="AJ97" i="4" s="1"/>
  <c r="AJ101" i="4" s="1"/>
  <c r="AJ92" i="4"/>
  <c r="E409" i="9"/>
  <c r="I408" i="9"/>
  <c r="AK32" i="8"/>
  <c r="AK31" i="8"/>
  <c r="AK36" i="8"/>
  <c r="J408" i="9"/>
  <c r="AK38" i="8" l="1"/>
  <c r="AK37" i="8"/>
  <c r="AK46" i="8"/>
  <c r="AK48" i="8" s="1"/>
  <c r="AK13" i="7"/>
  <c r="M409" i="9"/>
  <c r="L409" i="9"/>
  <c r="G409" i="9"/>
  <c r="C410" i="9" s="1"/>
  <c r="AK15" i="7" l="1"/>
  <c r="E410" i="9"/>
  <c r="I409" i="9"/>
  <c r="J409" i="9"/>
  <c r="AL47" i="8"/>
  <c r="AK49" i="8"/>
  <c r="AK51" i="8" l="1"/>
  <c r="AK78" i="11" s="1"/>
  <c r="AJ98" i="4"/>
  <c r="AK17" i="7"/>
  <c r="AK77" i="11" s="1"/>
  <c r="AJ99" i="4"/>
  <c r="AL14" i="7"/>
  <c r="AK16" i="7"/>
  <c r="AK4" i="11"/>
  <c r="AK3" i="11"/>
  <c r="AK50" i="8"/>
  <c r="M410" i="9"/>
  <c r="L410" i="9"/>
  <c r="G410" i="9"/>
  <c r="C411" i="9" s="1"/>
  <c r="AJ100" i="4" l="1"/>
  <c r="AK5" i="11"/>
  <c r="E411" i="9"/>
  <c r="J410" i="9"/>
  <c r="I410" i="9"/>
  <c r="M411" i="9" l="1"/>
  <c r="L411" i="9"/>
  <c r="G411" i="9"/>
  <c r="C412" i="9" s="1"/>
  <c r="E412" i="9" l="1"/>
  <c r="I411" i="9"/>
  <c r="J411" i="9"/>
  <c r="M412" i="9" l="1"/>
  <c r="L412" i="9"/>
  <c r="G412" i="9"/>
  <c r="C413" i="9" s="1"/>
  <c r="I412" i="9" l="1"/>
  <c r="E413" i="9"/>
  <c r="J412" i="9"/>
  <c r="M413" i="9" l="1"/>
  <c r="L413" i="9"/>
  <c r="I413" i="9" s="1"/>
  <c r="G413" i="9"/>
  <c r="C414" i="9" s="1"/>
  <c r="E414" i="9" l="1"/>
  <c r="J413" i="9"/>
  <c r="M414" i="9" l="1"/>
  <c r="L414" i="9"/>
  <c r="G414" i="9"/>
  <c r="C415" i="9" s="1"/>
  <c r="I414" i="9" l="1"/>
  <c r="E415" i="9"/>
  <c r="J414" i="9"/>
  <c r="M415" i="9" l="1"/>
  <c r="L415" i="9"/>
  <c r="G415" i="9"/>
  <c r="C416" i="9" s="1"/>
  <c r="I415" i="9" l="1"/>
  <c r="E416" i="9"/>
  <c r="J415" i="9"/>
  <c r="M416" i="9" l="1"/>
  <c r="L416" i="9"/>
  <c r="G416" i="9"/>
  <c r="C417" i="9" s="1"/>
  <c r="I416" i="9" l="1"/>
  <c r="E417" i="9"/>
  <c r="J416" i="9"/>
  <c r="M417" i="9" l="1"/>
  <c r="L417" i="9"/>
  <c r="G417" i="9"/>
  <c r="C418" i="9" s="1"/>
  <c r="I417" i="9" l="1"/>
  <c r="E418" i="9"/>
  <c r="J417" i="9"/>
  <c r="M418" i="9" l="1"/>
  <c r="L418" i="9"/>
  <c r="G418" i="9"/>
  <c r="C419" i="9" s="1"/>
  <c r="E419" i="9" l="1"/>
  <c r="I418" i="9"/>
  <c r="R418" i="9"/>
  <c r="AL5" i="8" s="1"/>
  <c r="AL41" i="8" s="1"/>
  <c r="J418" i="9"/>
  <c r="S418" i="9"/>
  <c r="AL6" i="8" s="1"/>
  <c r="M419" i="9" l="1"/>
  <c r="L419" i="9"/>
  <c r="AL7" i="8"/>
  <c r="G419" i="9"/>
  <c r="C420" i="9" s="1"/>
  <c r="AL39" i="11" l="1"/>
  <c r="AL43" i="11" s="1"/>
  <c r="AL55" i="8"/>
  <c r="AL29" i="8" s="1"/>
  <c r="AL24" i="8"/>
  <c r="E420" i="9"/>
  <c r="I419" i="9"/>
  <c r="AL42" i="8"/>
  <c r="J419" i="9"/>
  <c r="M420" i="9" l="1"/>
  <c r="L420" i="9"/>
  <c r="G420" i="9"/>
  <c r="C421" i="9" s="1"/>
  <c r="AL43" i="8"/>
  <c r="AL45" i="8"/>
  <c r="AL26" i="8"/>
  <c r="AL25" i="8"/>
  <c r="AL30" i="8"/>
  <c r="AK91" i="4" l="1"/>
  <c r="AK97" i="4" s="1"/>
  <c r="AK101" i="4" s="1"/>
  <c r="AK92" i="4"/>
  <c r="E421" i="9"/>
  <c r="I420" i="9"/>
  <c r="AL36" i="8"/>
  <c r="AL31" i="8"/>
  <c r="AL32" i="8"/>
  <c r="J420" i="9"/>
  <c r="AL37" i="8" l="1"/>
  <c r="AL38" i="8"/>
  <c r="AL46" i="8"/>
  <c r="AL48" i="8" s="1"/>
  <c r="AL13" i="7"/>
  <c r="M421" i="9"/>
  <c r="L421" i="9"/>
  <c r="G421" i="9"/>
  <c r="C422" i="9" s="1"/>
  <c r="AL15" i="7" l="1"/>
  <c r="J421" i="9"/>
  <c r="I421" i="9"/>
  <c r="AM47" i="8"/>
  <c r="AL49" i="8"/>
  <c r="E422" i="9"/>
  <c r="AL51" i="8" l="1"/>
  <c r="AL78" i="11" s="1"/>
  <c r="AK98" i="4"/>
  <c r="AL17" i="7"/>
  <c r="AL77" i="11" s="1"/>
  <c r="AK99" i="4"/>
  <c r="AM14" i="7"/>
  <c r="AL4" i="11"/>
  <c r="AL16" i="7"/>
  <c r="AL3" i="11"/>
  <c r="AL50" i="8"/>
  <c r="M422" i="9"/>
  <c r="L422" i="9"/>
  <c r="G422" i="9"/>
  <c r="C423" i="9" s="1"/>
  <c r="AK100" i="4" l="1"/>
  <c r="AL5" i="11"/>
  <c r="J422" i="9"/>
  <c r="E423" i="9"/>
  <c r="I422" i="9"/>
  <c r="M423" i="9" l="1"/>
  <c r="L423" i="9"/>
  <c r="G423" i="9"/>
  <c r="C424" i="9" s="1"/>
  <c r="I423" i="9" l="1"/>
  <c r="E424" i="9"/>
  <c r="J423" i="9"/>
  <c r="M424" i="9" l="1"/>
  <c r="L424" i="9"/>
  <c r="G424" i="9"/>
  <c r="C425" i="9" s="1"/>
  <c r="I424" i="9" l="1"/>
  <c r="J424" i="9"/>
  <c r="E425" i="9"/>
  <c r="M425" i="9" l="1"/>
  <c r="L425" i="9"/>
  <c r="I425" i="9" s="1"/>
  <c r="G425" i="9"/>
  <c r="C426" i="9" s="1"/>
  <c r="E426" i="9" l="1"/>
  <c r="J425" i="9"/>
  <c r="M426" i="9" l="1"/>
  <c r="L426" i="9"/>
  <c r="I426" i="9" s="1"/>
  <c r="G426" i="9"/>
  <c r="C427" i="9" s="1"/>
  <c r="E427" i="9" l="1"/>
  <c r="J426" i="9"/>
  <c r="M427" i="9" l="1"/>
  <c r="L427" i="9"/>
  <c r="G427" i="9"/>
  <c r="C428" i="9" s="1"/>
  <c r="I427" i="9" l="1"/>
  <c r="E428" i="9"/>
  <c r="J427" i="9"/>
  <c r="M428" i="9" l="1"/>
  <c r="L428" i="9"/>
  <c r="I428" i="9" s="1"/>
  <c r="G428" i="9"/>
  <c r="C429" i="9" s="1"/>
  <c r="E429" i="9" l="1"/>
  <c r="J428" i="9"/>
  <c r="M429" i="9" l="1"/>
  <c r="L429" i="9"/>
  <c r="G429" i="9"/>
  <c r="C430" i="9" s="1"/>
  <c r="I429" i="9" l="1"/>
  <c r="E430" i="9"/>
  <c r="J429" i="9"/>
  <c r="M430" i="9" l="1"/>
  <c r="L430" i="9"/>
  <c r="G430" i="9"/>
  <c r="C431" i="9" s="1"/>
  <c r="I430" i="9" l="1"/>
  <c r="R430" i="9"/>
  <c r="AM5" i="8" s="1"/>
  <c r="AM41" i="8" s="1"/>
  <c r="E431" i="9"/>
  <c r="J430" i="9"/>
  <c r="S430" i="9"/>
  <c r="AM6" i="8" s="1"/>
  <c r="M431" i="9" l="1"/>
  <c r="L431" i="9"/>
  <c r="AM7" i="8"/>
  <c r="G431" i="9"/>
  <c r="C432" i="9" s="1"/>
  <c r="AM55" i="8" l="1"/>
  <c r="AM29" i="8" s="1"/>
  <c r="AM39" i="11"/>
  <c r="AM43" i="11" s="1"/>
  <c r="AM24" i="8"/>
  <c r="E432" i="9"/>
  <c r="I431" i="9"/>
  <c r="AM42" i="8"/>
  <c r="J431" i="9"/>
  <c r="M432" i="9" l="1"/>
  <c r="L432" i="9"/>
  <c r="G432" i="9"/>
  <c r="C433" i="9" s="1"/>
  <c r="AM25" i="8"/>
  <c r="AM30" i="8"/>
  <c r="AM26" i="8"/>
  <c r="AM43" i="8"/>
  <c r="AM45" i="8"/>
  <c r="AL92" i="4" l="1"/>
  <c r="AL91" i="4"/>
  <c r="AL97" i="4" s="1"/>
  <c r="AL101" i="4" s="1"/>
  <c r="E433" i="9"/>
  <c r="I432" i="9"/>
  <c r="AM36" i="8"/>
  <c r="AM32" i="8"/>
  <c r="AM31" i="8"/>
  <c r="J432" i="9"/>
  <c r="AM37" i="8" l="1"/>
  <c r="AM38" i="8"/>
  <c r="AM46" i="8"/>
  <c r="AM48" i="8" s="1"/>
  <c r="AM13" i="7"/>
  <c r="M433" i="9"/>
  <c r="L433" i="9"/>
  <c r="G433" i="9"/>
  <c r="C434" i="9" s="1"/>
  <c r="AM15" i="7" l="1"/>
  <c r="I433" i="9"/>
  <c r="AN47" i="8"/>
  <c r="AM49" i="8"/>
  <c r="J433" i="9"/>
  <c r="E434" i="9"/>
  <c r="G434" i="9" s="1"/>
  <c r="C435" i="9" s="1"/>
  <c r="AM51" i="8" l="1"/>
  <c r="AM78" i="11" s="1"/>
  <c r="AL98" i="4"/>
  <c r="AM17" i="7"/>
  <c r="AM77" i="11" s="1"/>
  <c r="AL99" i="4"/>
  <c r="AN14" i="7"/>
  <c r="AM16" i="7"/>
  <c r="AM4" i="11"/>
  <c r="E435" i="9"/>
  <c r="M434" i="9"/>
  <c r="L434" i="9"/>
  <c r="AM3" i="11"/>
  <c r="AM50" i="8"/>
  <c r="AL100" i="4" l="1"/>
  <c r="AM5" i="11"/>
  <c r="I434" i="9"/>
  <c r="J434" i="9"/>
  <c r="M435" i="9"/>
  <c r="L435" i="9"/>
  <c r="G435" i="9"/>
  <c r="C436" i="9" s="1"/>
  <c r="J435" i="9" l="1"/>
  <c r="I435" i="9"/>
  <c r="E436" i="9"/>
  <c r="M436" i="9" l="1"/>
  <c r="L436" i="9"/>
  <c r="G436" i="9"/>
  <c r="C437" i="9" s="1"/>
  <c r="I436" i="9" l="1"/>
  <c r="E437" i="9"/>
  <c r="J436" i="9"/>
  <c r="M437" i="9" l="1"/>
  <c r="L437" i="9"/>
  <c r="G437" i="9"/>
  <c r="C438" i="9" s="1"/>
  <c r="I437" i="9" l="1"/>
  <c r="E438" i="9"/>
  <c r="J437" i="9"/>
  <c r="M438" i="9" l="1"/>
  <c r="L438" i="9"/>
  <c r="G438" i="9"/>
  <c r="C439" i="9" s="1"/>
  <c r="I438" i="9" l="1"/>
  <c r="E439" i="9"/>
  <c r="J438" i="9"/>
  <c r="M439" i="9" l="1"/>
  <c r="L439" i="9"/>
  <c r="G439" i="9"/>
  <c r="C440" i="9" s="1"/>
  <c r="I439" i="9" l="1"/>
  <c r="E440" i="9"/>
  <c r="J439" i="9"/>
  <c r="M440" i="9" l="1"/>
  <c r="L440" i="9"/>
  <c r="I440" i="9" s="1"/>
  <c r="G440" i="9"/>
  <c r="C441" i="9" s="1"/>
  <c r="E441" i="9" l="1"/>
  <c r="J440" i="9"/>
  <c r="M441" i="9" l="1"/>
  <c r="L441" i="9"/>
  <c r="I441" i="9" s="1"/>
  <c r="G441" i="9"/>
  <c r="C442" i="9" s="1"/>
  <c r="E442" i="9" l="1"/>
  <c r="J441" i="9"/>
  <c r="M442" i="9" l="1"/>
  <c r="L442" i="9"/>
  <c r="G442" i="9"/>
  <c r="C443" i="9" s="1"/>
  <c r="I442" i="9" l="1"/>
  <c r="R442" i="9"/>
  <c r="AN5" i="8" s="1"/>
  <c r="AN41" i="8" s="1"/>
  <c r="E443" i="9"/>
  <c r="J442" i="9"/>
  <c r="S442" i="9"/>
  <c r="AN6" i="8" s="1"/>
  <c r="M443" i="9" l="1"/>
  <c r="L443" i="9"/>
  <c r="AN7" i="8"/>
  <c r="G443" i="9"/>
  <c r="C444" i="9" s="1"/>
  <c r="AN24" i="8" l="1"/>
  <c r="AN39" i="11"/>
  <c r="AN43" i="11" s="1"/>
  <c r="AN55" i="8"/>
  <c r="AN29" i="8" s="1"/>
  <c r="E444" i="9"/>
  <c r="G444" i="9" s="1"/>
  <c r="C445" i="9" s="1"/>
  <c r="I443" i="9"/>
  <c r="AN42" i="8"/>
  <c r="J443" i="9"/>
  <c r="E445" i="9" l="1"/>
  <c r="M444" i="9"/>
  <c r="L444" i="9"/>
  <c r="AN43" i="8"/>
  <c r="AN45" i="8"/>
  <c r="AN30" i="8"/>
  <c r="AN26" i="8"/>
  <c r="AN25" i="8"/>
  <c r="AM91" i="4" l="1"/>
  <c r="AM97" i="4" s="1"/>
  <c r="AM101" i="4" s="1"/>
  <c r="AM92" i="4"/>
  <c r="I444" i="9"/>
  <c r="J444" i="9"/>
  <c r="M445" i="9"/>
  <c r="L445" i="9"/>
  <c r="AN31" i="8"/>
  <c r="AN32" i="8"/>
  <c r="AN36" i="8"/>
  <c r="G445" i="9"/>
  <c r="C446" i="9" s="1"/>
  <c r="I445" i="9" l="1"/>
  <c r="E446" i="9"/>
  <c r="AN37" i="8"/>
  <c r="AN38" i="8"/>
  <c r="AN13" i="7"/>
  <c r="AN46" i="8"/>
  <c r="AN48" i="8" s="1"/>
  <c r="J445" i="9"/>
  <c r="AN15" i="7" l="1"/>
  <c r="M446" i="9"/>
  <c r="L446" i="9"/>
  <c r="AO14" i="7"/>
  <c r="G446" i="9"/>
  <c r="C447" i="9" s="1"/>
  <c r="AO47" i="8"/>
  <c r="AN49" i="8"/>
  <c r="AN51" i="8" l="1"/>
  <c r="AN78" i="11" s="1"/>
  <c r="AM98" i="4"/>
  <c r="AN17" i="7"/>
  <c r="AN77" i="11" s="1"/>
  <c r="AM99" i="4"/>
  <c r="AN16" i="7"/>
  <c r="AN4" i="11"/>
  <c r="E447" i="9"/>
  <c r="AN3" i="11"/>
  <c r="AN50" i="8"/>
  <c r="I446" i="9"/>
  <c r="J446" i="9"/>
  <c r="AM100" i="4" l="1"/>
  <c r="AN5" i="11"/>
  <c r="M447" i="9"/>
  <c r="L447" i="9"/>
  <c r="G447" i="9"/>
  <c r="C448" i="9" s="1"/>
  <c r="E448" i="9" l="1"/>
  <c r="I447" i="9"/>
  <c r="J447" i="9"/>
  <c r="M448" i="9" l="1"/>
  <c r="L448" i="9"/>
  <c r="G448" i="9"/>
  <c r="C449" i="9" s="1"/>
  <c r="I448" i="9" l="1"/>
  <c r="E449" i="9"/>
  <c r="J448" i="9"/>
  <c r="M449" i="9" l="1"/>
  <c r="L449" i="9"/>
  <c r="I449" i="9" s="1"/>
  <c r="G449" i="9"/>
  <c r="C450" i="9" s="1"/>
  <c r="E450" i="9" l="1"/>
  <c r="J449" i="9"/>
  <c r="M450" i="9" l="1"/>
  <c r="L450" i="9"/>
  <c r="G450" i="9"/>
  <c r="C451" i="9" s="1"/>
  <c r="I450" i="9" l="1"/>
  <c r="E451" i="9"/>
  <c r="J450" i="9"/>
  <c r="M451" i="9" l="1"/>
  <c r="L451" i="9"/>
  <c r="I451" i="9" s="1"/>
  <c r="G451" i="9"/>
  <c r="C452" i="9" s="1"/>
  <c r="E452" i="9" l="1"/>
  <c r="J451" i="9"/>
  <c r="M452" i="9" l="1"/>
  <c r="L452" i="9"/>
  <c r="I452" i="9" s="1"/>
  <c r="G452" i="9"/>
  <c r="C453" i="9" s="1"/>
  <c r="E453" i="9" l="1"/>
  <c r="J452" i="9"/>
  <c r="M453" i="9" l="1"/>
  <c r="L453" i="9"/>
  <c r="I453" i="9" s="1"/>
  <c r="G453" i="9"/>
  <c r="C454" i="9" s="1"/>
  <c r="E454" i="9" l="1"/>
  <c r="J453" i="9"/>
  <c r="M454" i="9" l="1"/>
  <c r="L454" i="9"/>
  <c r="G454" i="9"/>
  <c r="C455" i="9" s="1"/>
  <c r="I454" i="9" l="1"/>
  <c r="R454" i="9"/>
  <c r="AO5" i="8" s="1"/>
  <c r="AO41" i="8" s="1"/>
  <c r="E455" i="9"/>
  <c r="J454" i="9"/>
  <c r="S454" i="9"/>
  <c r="AO6" i="8" s="1"/>
  <c r="M455" i="9" l="1"/>
  <c r="L455" i="9"/>
  <c r="AO7" i="8"/>
  <c r="G455" i="9"/>
  <c r="C456" i="9" s="1"/>
  <c r="AO55" i="8" l="1"/>
  <c r="AO29" i="8" s="1"/>
  <c r="AO39" i="11"/>
  <c r="AO43" i="11" s="1"/>
  <c r="AO24" i="8"/>
  <c r="E456" i="9"/>
  <c r="G456" i="9" s="1"/>
  <c r="C457" i="9" s="1"/>
  <c r="I455" i="9"/>
  <c r="AO42" i="8"/>
  <c r="J455" i="9"/>
  <c r="E457" i="9" l="1"/>
  <c r="AO25" i="8"/>
  <c r="AO30" i="8"/>
  <c r="AO26" i="8"/>
  <c r="M456" i="9"/>
  <c r="L456" i="9"/>
  <c r="AO45" i="8"/>
  <c r="AO43" i="8"/>
  <c r="AS91" i="4" l="1"/>
  <c r="AS97" i="4" s="1"/>
  <c r="AS101" i="4" s="1"/>
  <c r="AS92" i="4"/>
  <c r="AO36" i="8"/>
  <c r="AO32" i="8"/>
  <c r="AO31" i="8"/>
  <c r="J456" i="9"/>
  <c r="M457" i="9"/>
  <c r="L457" i="9"/>
  <c r="I456" i="9"/>
  <c r="G457" i="9"/>
  <c r="C458" i="9" s="1"/>
  <c r="I457" i="9" l="1"/>
  <c r="J457" i="9"/>
  <c r="E458" i="9"/>
  <c r="G458" i="9" s="1"/>
  <c r="C459" i="9" s="1"/>
  <c r="AO37" i="8"/>
  <c r="AO38" i="8"/>
  <c r="AO46" i="8"/>
  <c r="AO48" i="8" s="1"/>
  <c r="AO13" i="7"/>
  <c r="AO15" i="7" l="1"/>
  <c r="M458" i="9"/>
  <c r="L458" i="9"/>
  <c r="AP47" i="8"/>
  <c r="AO49" i="8"/>
  <c r="E459" i="9"/>
  <c r="AO51" i="8" l="1"/>
  <c r="AO78" i="11" s="1"/>
  <c r="AS98" i="4"/>
  <c r="AO17" i="7"/>
  <c r="AO77" i="11" s="1"/>
  <c r="AS99" i="4"/>
  <c r="AP14" i="7"/>
  <c r="AO16" i="7"/>
  <c r="AO4" i="11"/>
  <c r="I458" i="9"/>
  <c r="J458" i="9"/>
  <c r="M459" i="9"/>
  <c r="L459" i="9"/>
  <c r="G459" i="9"/>
  <c r="C460" i="9" s="1"/>
  <c r="AO3" i="11"/>
  <c r="AO50" i="8"/>
  <c r="AS100" i="4" l="1"/>
  <c r="AO5" i="11"/>
  <c r="J459" i="9"/>
  <c r="I459" i="9"/>
  <c r="E460" i="9"/>
  <c r="G460" i="9" s="1"/>
  <c r="C461" i="9" s="1"/>
  <c r="E461" i="9" l="1"/>
  <c r="M460" i="9"/>
  <c r="L460" i="9"/>
  <c r="I460" i="9" l="1"/>
  <c r="M461" i="9"/>
  <c r="L461" i="9"/>
  <c r="J460" i="9"/>
  <c r="G461" i="9"/>
  <c r="C462" i="9" s="1"/>
  <c r="I461" i="9" l="1"/>
  <c r="E462" i="9"/>
  <c r="J461" i="9"/>
  <c r="M462" i="9" l="1"/>
  <c r="L462" i="9"/>
  <c r="I462" i="9" s="1"/>
  <c r="G462" i="9"/>
  <c r="C463" i="9" s="1"/>
  <c r="E463" i="9" l="1"/>
  <c r="J462" i="9"/>
  <c r="M463" i="9" l="1"/>
  <c r="L463" i="9"/>
  <c r="I463" i="9" s="1"/>
  <c r="G463" i="9"/>
  <c r="C464" i="9" s="1"/>
  <c r="E464" i="9" l="1"/>
  <c r="J463" i="9"/>
  <c r="M464" i="9" l="1"/>
  <c r="L464" i="9"/>
  <c r="G464" i="9"/>
  <c r="C465" i="9" s="1"/>
  <c r="I464" i="9" l="1"/>
  <c r="E465" i="9"/>
  <c r="J464" i="9"/>
  <c r="M465" i="9" l="1"/>
  <c r="L465" i="9"/>
  <c r="I465" i="9" s="1"/>
  <c r="G465" i="9"/>
  <c r="C466" i="9" s="1"/>
  <c r="E466" i="9" l="1"/>
  <c r="J465" i="9"/>
  <c r="M466" i="9" l="1"/>
  <c r="L466" i="9"/>
  <c r="G466" i="9"/>
  <c r="C467" i="9" s="1"/>
  <c r="I466" i="9" l="1"/>
  <c r="R466" i="9"/>
  <c r="AP5" i="8" s="1"/>
  <c r="AP41" i="8" s="1"/>
  <c r="E467" i="9"/>
  <c r="J466" i="9"/>
  <c r="S466" i="9"/>
  <c r="AP6" i="8" s="1"/>
  <c r="M467" i="9" l="1"/>
  <c r="L467" i="9"/>
  <c r="AP7" i="8"/>
  <c r="G467" i="9"/>
  <c r="C468" i="9" s="1"/>
  <c r="AP39" i="11" l="1"/>
  <c r="AP43" i="11" s="1"/>
  <c r="AP55" i="8"/>
  <c r="AP29" i="8" s="1"/>
  <c r="AP24" i="8"/>
  <c r="E468" i="9"/>
  <c r="I467" i="9"/>
  <c r="AP42" i="8"/>
  <c r="J467" i="9"/>
  <c r="M468" i="9" l="1"/>
  <c r="L468" i="9"/>
  <c r="G468" i="9"/>
  <c r="C469" i="9" s="1"/>
  <c r="AP25" i="8"/>
  <c r="AP26" i="8"/>
  <c r="AP30" i="8"/>
  <c r="AP43" i="8"/>
  <c r="AP45" i="8"/>
  <c r="AT92" i="4" l="1"/>
  <c r="AT91" i="4"/>
  <c r="AT97" i="4" s="1"/>
  <c r="AT101" i="4" s="1"/>
  <c r="E469" i="9"/>
  <c r="I468" i="9"/>
  <c r="AP36" i="8"/>
  <c r="AP32" i="8"/>
  <c r="AP31" i="8"/>
  <c r="J468" i="9"/>
  <c r="M469" i="9" l="1"/>
  <c r="L469" i="9"/>
  <c r="AP38" i="8"/>
  <c r="AP37" i="8"/>
  <c r="AP13" i="7"/>
  <c r="AP46" i="8"/>
  <c r="AP48" i="8" s="1"/>
  <c r="G469" i="9"/>
  <c r="C470" i="9" s="1"/>
  <c r="AP15" i="7" l="1"/>
  <c r="E470" i="9"/>
  <c r="AQ47" i="8"/>
  <c r="AP49" i="8"/>
  <c r="I469" i="9"/>
  <c r="J469" i="9"/>
  <c r="AP51" i="8" l="1"/>
  <c r="AP78" i="11" s="1"/>
  <c r="AT98" i="4"/>
  <c r="AP17" i="7"/>
  <c r="AP77" i="11" s="1"/>
  <c r="AT99" i="4"/>
  <c r="AQ14" i="7"/>
  <c r="AP4" i="11"/>
  <c r="AP16" i="7"/>
  <c r="AP3" i="11"/>
  <c r="AP50" i="8"/>
  <c r="M470" i="9"/>
  <c r="L470" i="9"/>
  <c r="G470" i="9"/>
  <c r="C471" i="9" s="1"/>
  <c r="AT100" i="4" l="1"/>
  <c r="AP5" i="11"/>
  <c r="E471" i="9"/>
  <c r="I470" i="9"/>
  <c r="J470" i="9"/>
  <c r="M471" i="9" l="1"/>
  <c r="L471" i="9"/>
  <c r="G471" i="9"/>
  <c r="C472" i="9" s="1"/>
  <c r="I471" i="9" l="1"/>
  <c r="E472" i="9"/>
  <c r="J471" i="9"/>
  <c r="M472" i="9" l="1"/>
  <c r="L472" i="9"/>
  <c r="G472" i="9"/>
  <c r="C473" i="9" s="1"/>
  <c r="I472" i="9" l="1"/>
  <c r="E473" i="9"/>
  <c r="J472" i="9"/>
  <c r="M473" i="9" l="1"/>
  <c r="L473" i="9"/>
  <c r="G473" i="9"/>
  <c r="C474" i="9" s="1"/>
  <c r="I473" i="9" l="1"/>
  <c r="E474" i="9"/>
  <c r="J473" i="9"/>
  <c r="M474" i="9" l="1"/>
  <c r="L474" i="9"/>
  <c r="I474" i="9" s="1"/>
  <c r="G474" i="9"/>
  <c r="C475" i="9" s="1"/>
  <c r="E475" i="9" l="1"/>
  <c r="J474" i="9"/>
  <c r="M475" i="9" l="1"/>
  <c r="L475" i="9"/>
  <c r="G475" i="9"/>
  <c r="C476" i="9" s="1"/>
  <c r="I475" i="9" l="1"/>
  <c r="E476" i="9"/>
  <c r="J475" i="9"/>
  <c r="M476" i="9" l="1"/>
  <c r="L476" i="9"/>
  <c r="I476" i="9" s="1"/>
  <c r="G476" i="9"/>
  <c r="C477" i="9" s="1"/>
  <c r="E477" i="9" l="1"/>
  <c r="J476" i="9"/>
  <c r="M477" i="9" l="1"/>
  <c r="L477" i="9"/>
  <c r="G477" i="9"/>
  <c r="C478" i="9" s="1"/>
  <c r="I477" i="9" l="1"/>
  <c r="E478" i="9"/>
  <c r="J477" i="9"/>
  <c r="M478" i="9" l="1"/>
  <c r="L478" i="9"/>
  <c r="G478" i="9"/>
  <c r="C479" i="9" s="1"/>
  <c r="I478" i="9" l="1"/>
  <c r="R478" i="9"/>
  <c r="AQ5" i="8" s="1"/>
  <c r="AQ41" i="8" s="1"/>
  <c r="E479" i="9"/>
  <c r="J478" i="9"/>
  <c r="S478" i="9"/>
  <c r="AQ6" i="8" s="1"/>
  <c r="M479" i="9" l="1"/>
  <c r="L479" i="9"/>
  <c r="AQ7" i="8"/>
  <c r="G479" i="9"/>
  <c r="C480" i="9" s="1"/>
  <c r="AQ24" i="8" l="1"/>
  <c r="AQ39" i="11"/>
  <c r="AQ43" i="11" s="1"/>
  <c r="AQ55" i="8"/>
  <c r="AQ29" i="8" s="1"/>
  <c r="E480" i="9"/>
  <c r="I479" i="9"/>
  <c r="AQ42" i="8"/>
  <c r="J479" i="9"/>
  <c r="M480" i="9" l="1"/>
  <c r="L480" i="9"/>
  <c r="G480" i="9"/>
  <c r="C481" i="9" s="1"/>
  <c r="AQ43" i="8"/>
  <c r="AQ45" i="8"/>
  <c r="AQ25" i="8"/>
  <c r="AQ30" i="8"/>
  <c r="AQ26" i="8"/>
  <c r="AU91" i="4" l="1"/>
  <c r="AU97" i="4" s="1"/>
  <c r="AU101" i="4" s="1"/>
  <c r="AU92" i="4"/>
  <c r="E481" i="9"/>
  <c r="AQ32" i="8"/>
  <c r="AQ36" i="8"/>
  <c r="AQ31" i="8"/>
  <c r="I480" i="9"/>
  <c r="J480" i="9"/>
  <c r="M481" i="9" l="1"/>
  <c r="L481" i="9"/>
  <c r="AQ37" i="8"/>
  <c r="AQ38" i="8"/>
  <c r="AQ46" i="8"/>
  <c r="AQ48" i="8" s="1"/>
  <c r="AQ13" i="7"/>
  <c r="G481" i="9"/>
  <c r="C482" i="9" s="1"/>
  <c r="AQ15" i="7" l="1"/>
  <c r="I481" i="9"/>
  <c r="AR47" i="8"/>
  <c r="AQ49" i="8"/>
  <c r="E482" i="9"/>
  <c r="J481" i="9"/>
  <c r="AQ51" i="8" l="1"/>
  <c r="AQ78" i="11" s="1"/>
  <c r="AU98" i="4"/>
  <c r="AQ17" i="7"/>
  <c r="AQ77" i="11" s="1"/>
  <c r="AU99" i="4"/>
  <c r="AR14" i="7"/>
  <c r="AQ16" i="7"/>
  <c r="AQ4" i="11"/>
  <c r="M482" i="9"/>
  <c r="L482" i="9"/>
  <c r="G482" i="9"/>
  <c r="C483" i="9" s="1"/>
  <c r="AQ3" i="11"/>
  <c r="AQ50" i="8"/>
  <c r="AU100" i="4" l="1"/>
  <c r="AQ5" i="11"/>
  <c r="I482" i="9"/>
  <c r="E483" i="9"/>
  <c r="G483" i="9" s="1"/>
  <c r="C484" i="9" s="1"/>
  <c r="J482" i="9"/>
  <c r="E484" i="9" l="1"/>
  <c r="M483" i="9"/>
  <c r="L483" i="9"/>
  <c r="J483" i="9" l="1"/>
  <c r="M484" i="9"/>
  <c r="L484" i="9"/>
  <c r="I483" i="9"/>
  <c r="G484" i="9"/>
  <c r="C485" i="9" s="1"/>
  <c r="I484" i="9" l="1"/>
  <c r="E485" i="9"/>
  <c r="J484" i="9"/>
  <c r="M485" i="9" l="1"/>
  <c r="L485" i="9"/>
  <c r="G485" i="9"/>
  <c r="C486" i="9" s="1"/>
  <c r="I485" i="9" l="1"/>
  <c r="E486" i="9"/>
  <c r="J485" i="9"/>
  <c r="M486" i="9" l="1"/>
  <c r="L486" i="9"/>
  <c r="I486" i="9" s="1"/>
  <c r="G486" i="9"/>
  <c r="C487" i="9" s="1"/>
  <c r="E487" i="9" l="1"/>
  <c r="J486" i="9"/>
  <c r="M487" i="9" l="1"/>
  <c r="L487" i="9"/>
  <c r="G487" i="9"/>
  <c r="C488" i="9" s="1"/>
  <c r="I487" i="9" l="1"/>
  <c r="E488" i="9"/>
  <c r="J487" i="9"/>
  <c r="M488" i="9" l="1"/>
  <c r="L488" i="9"/>
  <c r="I488" i="9" s="1"/>
  <c r="G488" i="9"/>
  <c r="C489" i="9" s="1"/>
  <c r="E489" i="9" l="1"/>
  <c r="J488" i="9"/>
  <c r="M489" i="9" l="1"/>
  <c r="L489" i="9"/>
  <c r="I489" i="9" s="1"/>
  <c r="G489" i="9"/>
  <c r="C490" i="9" s="1"/>
  <c r="E490" i="9" l="1"/>
  <c r="J489" i="9"/>
  <c r="M490" i="9" l="1"/>
  <c r="L490" i="9"/>
  <c r="G490" i="9"/>
  <c r="C491" i="9" s="1"/>
  <c r="I490" i="9" l="1"/>
  <c r="R490" i="9"/>
  <c r="AR5" i="8" s="1"/>
  <c r="AR41" i="8" s="1"/>
  <c r="E491" i="9"/>
  <c r="J490" i="9"/>
  <c r="S490" i="9"/>
  <c r="AR6" i="8" s="1"/>
  <c r="M491" i="9" l="1"/>
  <c r="L491" i="9"/>
  <c r="AR7" i="8"/>
  <c r="G491" i="9"/>
  <c r="C492" i="9" s="1"/>
  <c r="E492" i="9" l="1"/>
  <c r="AR55" i="8"/>
  <c r="AR29" i="8" s="1"/>
  <c r="AR24" i="8"/>
  <c r="AR39" i="11"/>
  <c r="AR43" i="11" s="1"/>
  <c r="AR42" i="8"/>
  <c r="I491" i="9"/>
  <c r="J491" i="9"/>
  <c r="AR25" i="8" l="1"/>
  <c r="AR26" i="8"/>
  <c r="AR30" i="8"/>
  <c r="M492" i="9"/>
  <c r="L492" i="9"/>
  <c r="AR43" i="8"/>
  <c r="AR45" i="8"/>
  <c r="G492" i="9"/>
  <c r="C493" i="9" s="1"/>
  <c r="AV91" i="4" l="1"/>
  <c r="AV97" i="4" s="1"/>
  <c r="AV101" i="4" s="1"/>
  <c r="AV92" i="4"/>
  <c r="AR31" i="8"/>
  <c r="AR32" i="8"/>
  <c r="AR36" i="8"/>
  <c r="I492" i="9"/>
  <c r="J492" i="9"/>
  <c r="E493" i="9"/>
  <c r="AR38" i="8" l="1"/>
  <c r="AR37" i="8"/>
  <c r="AR46" i="8"/>
  <c r="AR48" i="8" s="1"/>
  <c r="AR13" i="7"/>
  <c r="M493" i="9"/>
  <c r="L493" i="9"/>
  <c r="G493" i="9"/>
  <c r="C494" i="9" s="1"/>
  <c r="AR15" i="7" l="1"/>
  <c r="E494" i="9"/>
  <c r="I493" i="9"/>
  <c r="J493" i="9"/>
  <c r="AS47" i="8"/>
  <c r="AR49" i="8"/>
  <c r="AS14" i="7"/>
  <c r="AR51" i="8" l="1"/>
  <c r="AR78" i="11" s="1"/>
  <c r="AV98" i="4"/>
  <c r="AR17" i="7"/>
  <c r="AR77" i="11" s="1"/>
  <c r="AV99" i="4"/>
  <c r="AR4" i="11"/>
  <c r="AR16" i="7"/>
  <c r="AR3" i="11"/>
  <c r="AR50" i="8"/>
  <c r="M494" i="9"/>
  <c r="L494" i="9"/>
  <c r="G494" i="9"/>
  <c r="C495" i="9" s="1"/>
  <c r="AV100" i="4" l="1"/>
  <c r="AR5" i="11"/>
  <c r="I494" i="9"/>
  <c r="E495" i="9"/>
  <c r="G495" i="9" s="1"/>
  <c r="C496" i="9" s="1"/>
  <c r="J494" i="9"/>
  <c r="E496" i="9" l="1"/>
  <c r="M495" i="9"/>
  <c r="L495" i="9"/>
  <c r="J495" i="9" l="1"/>
  <c r="M496" i="9"/>
  <c r="L496" i="9"/>
  <c r="I495" i="9"/>
  <c r="G496" i="9"/>
  <c r="C497" i="9" s="1"/>
  <c r="I496" i="9" l="1"/>
  <c r="E497" i="9"/>
  <c r="J496" i="9"/>
  <c r="M497" i="9" l="1"/>
  <c r="L497" i="9"/>
  <c r="I497" i="9" s="1"/>
  <c r="G497" i="9"/>
  <c r="C498" i="9" s="1"/>
  <c r="E498" i="9" l="1"/>
  <c r="J497" i="9"/>
  <c r="M498" i="9" l="1"/>
  <c r="L498" i="9"/>
  <c r="I498" i="9" s="1"/>
  <c r="G498" i="9"/>
  <c r="C499" i="9" s="1"/>
  <c r="E499" i="9" l="1"/>
  <c r="J498" i="9"/>
  <c r="M499" i="9" l="1"/>
  <c r="L499" i="9"/>
  <c r="I499" i="9" s="1"/>
  <c r="G499" i="9"/>
  <c r="C500" i="9" s="1"/>
  <c r="E500" i="9" l="1"/>
  <c r="J499" i="9"/>
  <c r="M500" i="9" l="1"/>
  <c r="L500" i="9"/>
  <c r="I500" i="9" s="1"/>
  <c r="G500" i="9"/>
  <c r="C501" i="9" s="1"/>
  <c r="E501" i="9" l="1"/>
  <c r="J500" i="9"/>
  <c r="M501" i="9" l="1"/>
  <c r="L501" i="9"/>
  <c r="I501" i="9" s="1"/>
  <c r="G501" i="9"/>
  <c r="C502" i="9" s="1"/>
  <c r="E502" i="9" l="1"/>
  <c r="J501" i="9"/>
  <c r="M502" i="9" l="1"/>
  <c r="L502" i="9"/>
  <c r="G502" i="9"/>
  <c r="C503" i="9" s="1"/>
  <c r="E503" i="9" l="1"/>
  <c r="I502" i="9"/>
  <c r="R502" i="9"/>
  <c r="AS5" i="8" s="1"/>
  <c r="AS41" i="8" s="1"/>
  <c r="J502" i="9"/>
  <c r="S502" i="9"/>
  <c r="AS6" i="8" s="1"/>
  <c r="M503" i="9" l="1"/>
  <c r="L503" i="9"/>
  <c r="AS7" i="8"/>
  <c r="G503" i="9"/>
  <c r="C504" i="9" s="1"/>
  <c r="AS39" i="11" l="1"/>
  <c r="AS43" i="11" s="1"/>
  <c r="AS24" i="8"/>
  <c r="AS55" i="8"/>
  <c r="AS29" i="8" s="1"/>
  <c r="E504" i="9"/>
  <c r="I503" i="9"/>
  <c r="AS42" i="8"/>
  <c r="J503" i="9"/>
  <c r="M504" i="9" l="1"/>
  <c r="L504" i="9"/>
  <c r="G504" i="9"/>
  <c r="C505" i="9" s="1"/>
  <c r="AS25" i="8"/>
  <c r="AS30" i="8"/>
  <c r="AS26" i="8"/>
  <c r="AS43" i="8"/>
  <c r="AS45" i="8"/>
  <c r="AW91" i="4" l="1"/>
  <c r="AW97" i="4" s="1"/>
  <c r="AW101" i="4" s="1"/>
  <c r="AW92" i="4"/>
  <c r="AS32" i="8"/>
  <c r="AS36" i="8"/>
  <c r="AS31" i="8"/>
  <c r="E505" i="9"/>
  <c r="G505" i="9" s="1"/>
  <c r="C506" i="9" s="1"/>
  <c r="I504" i="9"/>
  <c r="J504" i="9"/>
  <c r="E506" i="9" l="1"/>
  <c r="AS38" i="8"/>
  <c r="AS37" i="8"/>
  <c r="AS46" i="8"/>
  <c r="AS48" i="8" s="1"/>
  <c r="AS13" i="7"/>
  <c r="M505" i="9"/>
  <c r="L505" i="9"/>
  <c r="AS15" i="7" l="1"/>
  <c r="J505" i="9"/>
  <c r="AT47" i="8"/>
  <c r="AS49" i="8"/>
  <c r="M506" i="9"/>
  <c r="L506" i="9"/>
  <c r="I506" i="9" s="1"/>
  <c r="I505" i="9"/>
  <c r="G506" i="9"/>
  <c r="C507" i="9" s="1"/>
  <c r="AS51" i="8" l="1"/>
  <c r="AS78" i="11" s="1"/>
  <c r="AW98" i="4"/>
  <c r="AS17" i="7"/>
  <c r="AS77" i="11" s="1"/>
  <c r="AW99" i="4"/>
  <c r="AT14" i="7"/>
  <c r="AS16" i="7"/>
  <c r="AS4" i="11"/>
  <c r="J506" i="9"/>
  <c r="E507" i="9"/>
  <c r="AS3" i="11"/>
  <c r="AS50" i="8"/>
  <c r="AW100" i="4" l="1"/>
  <c r="AS5" i="11"/>
  <c r="M507" i="9"/>
  <c r="L507" i="9"/>
  <c r="G507" i="9"/>
  <c r="C508" i="9" s="1"/>
  <c r="I507" i="9" l="1"/>
  <c r="E508" i="9"/>
  <c r="J507" i="9"/>
  <c r="M508" i="9" l="1"/>
  <c r="L508" i="9"/>
  <c r="G508" i="9"/>
  <c r="C509" i="9" s="1"/>
  <c r="I508" i="9" l="1"/>
  <c r="E509" i="9"/>
  <c r="G509" i="9" s="1"/>
  <c r="C510" i="9" s="1"/>
  <c r="J508" i="9"/>
  <c r="E510" i="9" l="1"/>
  <c r="M509" i="9"/>
  <c r="L509" i="9"/>
  <c r="I509" i="9" l="1"/>
  <c r="M510" i="9"/>
  <c r="L510" i="9"/>
  <c r="J509" i="9"/>
  <c r="G510" i="9"/>
  <c r="C511" i="9" s="1"/>
  <c r="I510" i="9" l="1"/>
  <c r="E511" i="9"/>
  <c r="J510" i="9"/>
  <c r="M511" i="9" l="1"/>
  <c r="L511" i="9"/>
  <c r="I511" i="9" s="1"/>
  <c r="G511" i="9"/>
  <c r="C512" i="9" s="1"/>
  <c r="E512" i="9" l="1"/>
  <c r="J511" i="9"/>
  <c r="M512" i="9" l="1"/>
  <c r="L512" i="9"/>
  <c r="G512" i="9"/>
  <c r="C513" i="9" s="1"/>
  <c r="I512" i="9" l="1"/>
  <c r="E513" i="9"/>
  <c r="J512" i="9"/>
  <c r="M513" i="9" l="1"/>
  <c r="L513" i="9"/>
  <c r="G513" i="9"/>
  <c r="C514" i="9" s="1"/>
  <c r="I513" i="9" l="1"/>
  <c r="E514" i="9"/>
  <c r="J513" i="9"/>
  <c r="M514" i="9" l="1"/>
  <c r="L514" i="9"/>
  <c r="G514" i="9"/>
  <c r="C515" i="9" s="1"/>
  <c r="I514" i="9" l="1"/>
  <c r="R514" i="9"/>
  <c r="AT5" i="8" s="1"/>
  <c r="AT41" i="8" s="1"/>
  <c r="E515" i="9"/>
  <c r="J514" i="9"/>
  <c r="S514" i="9"/>
  <c r="AT6" i="8" s="1"/>
  <c r="AT7" i="8" l="1"/>
  <c r="M515" i="9"/>
  <c r="L515" i="9"/>
  <c r="G515" i="9"/>
  <c r="C516" i="9" s="1"/>
  <c r="I515" i="9" l="1"/>
  <c r="E516" i="9"/>
  <c r="AT42" i="8"/>
  <c r="J515" i="9"/>
  <c r="AT39" i="11"/>
  <c r="AT43" i="11" s="1"/>
  <c r="AT24" i="8"/>
  <c r="AT55" i="8"/>
  <c r="AT29" i="8" s="1"/>
  <c r="AT43" i="8" l="1"/>
  <c r="AT45" i="8"/>
  <c r="M516" i="9"/>
  <c r="L516" i="9"/>
  <c r="G516" i="9"/>
  <c r="C517" i="9" s="1"/>
  <c r="AT25" i="8"/>
  <c r="AT26" i="8"/>
  <c r="AT30" i="8"/>
  <c r="AX91" i="4" l="1"/>
  <c r="AX97" i="4" s="1"/>
  <c r="AX101" i="4" s="1"/>
  <c r="AX92" i="4"/>
  <c r="I516" i="9"/>
  <c r="J516" i="9"/>
  <c r="E517" i="9"/>
  <c r="AT31" i="8"/>
  <c r="AT36" i="8"/>
  <c r="AT32" i="8"/>
  <c r="M517" i="9" l="1"/>
  <c r="L517" i="9"/>
  <c r="G517" i="9"/>
  <c r="C518" i="9" s="1"/>
  <c r="AT38" i="8"/>
  <c r="AT37" i="8"/>
  <c r="AT46" i="8"/>
  <c r="AT48" i="8" s="1"/>
  <c r="AT13" i="7"/>
  <c r="AT15" i="7" l="1"/>
  <c r="AU47" i="8"/>
  <c r="AT49" i="8"/>
  <c r="I517" i="9"/>
  <c r="AU14" i="7"/>
  <c r="E518" i="9"/>
  <c r="J517" i="9"/>
  <c r="AT51" i="8" l="1"/>
  <c r="AT78" i="11" s="1"/>
  <c r="AX98" i="4"/>
  <c r="AT17" i="7"/>
  <c r="AT77" i="11" s="1"/>
  <c r="AX99" i="4"/>
  <c r="AT16" i="7"/>
  <c r="AT4" i="11"/>
  <c r="M518" i="9"/>
  <c r="L518" i="9"/>
  <c r="G518" i="9"/>
  <c r="C519" i="9" s="1"/>
  <c r="AT3" i="11"/>
  <c r="AT50" i="8"/>
  <c r="AX100" i="4" l="1"/>
  <c r="AT5" i="11"/>
  <c r="E519" i="9"/>
  <c r="J518" i="9"/>
  <c r="I518" i="9"/>
  <c r="M519" i="9" l="1"/>
  <c r="L519" i="9"/>
  <c r="G519" i="9"/>
  <c r="C520" i="9" s="1"/>
  <c r="I519" i="9" l="1"/>
  <c r="E520" i="9"/>
  <c r="J519" i="9"/>
  <c r="M520" i="9" l="1"/>
  <c r="L520" i="9"/>
  <c r="G520" i="9"/>
  <c r="C521" i="9" s="1"/>
  <c r="I520" i="9" l="1"/>
  <c r="E521" i="9"/>
  <c r="J520" i="9"/>
  <c r="M521" i="9" l="1"/>
  <c r="L521" i="9"/>
  <c r="G521" i="9"/>
  <c r="C522" i="9" s="1"/>
  <c r="I521" i="9" l="1"/>
  <c r="E522" i="9"/>
  <c r="J521" i="9"/>
  <c r="M522" i="9" l="1"/>
  <c r="L522" i="9"/>
  <c r="I522" i="9" s="1"/>
  <c r="G522" i="9"/>
  <c r="C523" i="9" s="1"/>
  <c r="E523" i="9" l="1"/>
  <c r="J522" i="9"/>
  <c r="M523" i="9" l="1"/>
  <c r="L523" i="9"/>
  <c r="I523" i="9" s="1"/>
  <c r="G523" i="9"/>
  <c r="C524" i="9" s="1"/>
  <c r="E524" i="9" l="1"/>
  <c r="J523" i="9"/>
  <c r="M524" i="9" l="1"/>
  <c r="L524" i="9"/>
  <c r="I524" i="9" s="1"/>
  <c r="G524" i="9"/>
  <c r="C525" i="9" s="1"/>
  <c r="E525" i="9" l="1"/>
  <c r="J524" i="9"/>
  <c r="M525" i="9" l="1"/>
  <c r="L525" i="9"/>
  <c r="I525" i="9" s="1"/>
  <c r="G525" i="9"/>
  <c r="C526" i="9" s="1"/>
  <c r="E526" i="9" l="1"/>
  <c r="J525" i="9"/>
  <c r="M526" i="9" l="1"/>
  <c r="L526" i="9"/>
  <c r="G526" i="9"/>
  <c r="C527" i="9" s="1"/>
  <c r="I526" i="9" l="1"/>
  <c r="R526" i="9"/>
  <c r="AU5" i="8" s="1"/>
  <c r="AU41" i="8" s="1"/>
  <c r="E527" i="9"/>
  <c r="J526" i="9"/>
  <c r="S526" i="9"/>
  <c r="AU6" i="8" s="1"/>
  <c r="AU7" i="8" l="1"/>
  <c r="M527" i="9"/>
  <c r="L527" i="9"/>
  <c r="G527" i="9"/>
  <c r="C528" i="9" s="1"/>
  <c r="I527" i="9" l="1"/>
  <c r="E528" i="9"/>
  <c r="AU42" i="8"/>
  <c r="J527" i="9"/>
  <c r="AU24" i="8"/>
  <c r="AU55" i="8"/>
  <c r="AU29" i="8" s="1"/>
  <c r="AU39" i="11"/>
  <c r="AU43" i="11" s="1"/>
  <c r="AU30" i="8" l="1"/>
  <c r="AU43" i="8"/>
  <c r="AU45" i="8"/>
  <c r="M528" i="9"/>
  <c r="L528" i="9"/>
  <c r="G528" i="9"/>
  <c r="C529" i="9" s="1"/>
  <c r="AU25" i="8"/>
  <c r="AU26" i="8"/>
  <c r="AY91" i="4" l="1"/>
  <c r="AY97" i="4" s="1"/>
  <c r="AY101" i="4" s="1"/>
  <c r="AY92" i="4"/>
  <c r="AU31" i="8"/>
  <c r="AU32" i="8"/>
  <c r="AU36" i="8"/>
  <c r="I528" i="9"/>
  <c r="E529" i="9"/>
  <c r="G529" i="9" s="1"/>
  <c r="C530" i="9" s="1"/>
  <c r="J528" i="9"/>
  <c r="AU13" i="7" l="1"/>
  <c r="AU46" i="8"/>
  <c r="AU48" i="8" s="1"/>
  <c r="AV47" i="8" s="1"/>
  <c r="AU37" i="8"/>
  <c r="AU38" i="8"/>
  <c r="E530" i="9"/>
  <c r="M529" i="9"/>
  <c r="L529" i="9"/>
  <c r="AU15" i="7" l="1"/>
  <c r="AY99" i="4" s="1"/>
  <c r="AU49" i="8"/>
  <c r="M530" i="9"/>
  <c r="L530" i="9"/>
  <c r="I529" i="9"/>
  <c r="G530" i="9"/>
  <c r="C531" i="9" s="1"/>
  <c r="J529" i="9"/>
  <c r="AU51" i="8" l="1"/>
  <c r="AU78" i="11" s="1"/>
  <c r="AY98" i="4"/>
  <c r="AY100" i="4" s="1"/>
  <c r="AU17" i="7"/>
  <c r="AU77" i="11" s="1"/>
  <c r="AV14" i="7"/>
  <c r="AU4" i="11"/>
  <c r="AU16" i="7"/>
  <c r="AU3" i="11"/>
  <c r="AU50" i="8"/>
  <c r="I530" i="9"/>
  <c r="E531" i="9"/>
  <c r="J530" i="9"/>
  <c r="AU5" i="11" l="1"/>
  <c r="M531" i="9"/>
  <c r="L531" i="9"/>
  <c r="G531" i="9"/>
  <c r="C532" i="9" s="1"/>
  <c r="I531" i="9" l="1"/>
  <c r="E532" i="9"/>
  <c r="J531" i="9"/>
  <c r="M532" i="9" l="1"/>
  <c r="L532" i="9"/>
  <c r="G532" i="9"/>
  <c r="C533" i="9" s="1"/>
  <c r="I532" i="9" l="1"/>
  <c r="E533" i="9"/>
  <c r="J532" i="9"/>
  <c r="M533" i="9" l="1"/>
  <c r="L533" i="9"/>
  <c r="I533" i="9" s="1"/>
  <c r="G533" i="9"/>
  <c r="C534" i="9" s="1"/>
  <c r="E534" i="9" l="1"/>
  <c r="J533" i="9"/>
  <c r="M534" i="9" l="1"/>
  <c r="L534" i="9"/>
  <c r="G534" i="9"/>
  <c r="C535" i="9" s="1"/>
  <c r="I534" i="9" l="1"/>
  <c r="E535" i="9"/>
  <c r="J534" i="9"/>
  <c r="M535" i="9" l="1"/>
  <c r="L535" i="9"/>
  <c r="G535" i="9"/>
  <c r="C536" i="9" s="1"/>
  <c r="I535" i="9" l="1"/>
  <c r="E536" i="9"/>
  <c r="J535" i="9"/>
  <c r="M536" i="9" l="1"/>
  <c r="L536" i="9"/>
  <c r="I536" i="9" s="1"/>
  <c r="G536" i="9"/>
  <c r="C537" i="9" s="1"/>
  <c r="E537" i="9" l="1"/>
  <c r="J536" i="9"/>
  <c r="M537" i="9" l="1"/>
  <c r="L537" i="9"/>
  <c r="I537" i="9" s="1"/>
  <c r="G537" i="9"/>
  <c r="C538" i="9" s="1"/>
  <c r="E538" i="9" l="1"/>
  <c r="J537" i="9"/>
  <c r="M538" i="9" l="1"/>
  <c r="L538" i="9"/>
  <c r="G538" i="9"/>
  <c r="C539" i="9" s="1"/>
  <c r="I538" i="9" l="1"/>
  <c r="R538" i="9"/>
  <c r="AV5" i="8" s="1"/>
  <c r="AV41" i="8" s="1"/>
  <c r="E539" i="9"/>
  <c r="J538" i="9"/>
  <c r="S538" i="9"/>
  <c r="AV6" i="8" s="1"/>
  <c r="M539" i="9" l="1"/>
  <c r="L539" i="9"/>
  <c r="AV7" i="8"/>
  <c r="G539" i="9"/>
  <c r="C540" i="9" s="1"/>
  <c r="AV24" i="8" l="1"/>
  <c r="AV39" i="11"/>
  <c r="AV43" i="11" s="1"/>
  <c r="AV55" i="8"/>
  <c r="AV29" i="8" s="1"/>
  <c r="E540" i="9"/>
  <c r="I539" i="9"/>
  <c r="AV42" i="8"/>
  <c r="J539" i="9"/>
  <c r="M540" i="9" l="1"/>
  <c r="L540" i="9"/>
  <c r="G540" i="9"/>
  <c r="C541" i="9" s="1"/>
  <c r="AV45" i="8"/>
  <c r="AV43" i="8"/>
  <c r="AV25" i="8"/>
  <c r="AV26" i="8"/>
  <c r="AV30" i="8"/>
  <c r="E541" i="9" l="1"/>
  <c r="G541" i="9" s="1"/>
  <c r="C542" i="9" s="1"/>
  <c r="I540" i="9"/>
  <c r="AV36" i="8"/>
  <c r="AV32" i="8"/>
  <c r="AV31" i="8"/>
  <c r="J540" i="9"/>
  <c r="E542" i="9" l="1"/>
  <c r="AV37" i="8"/>
  <c r="AV38" i="8"/>
  <c r="AV13" i="7"/>
  <c r="AV46" i="8"/>
  <c r="AV48" i="8" s="1"/>
  <c r="M541" i="9"/>
  <c r="L541" i="9"/>
  <c r="AV15" i="7" l="1"/>
  <c r="AW47" i="8"/>
  <c r="AV49" i="8"/>
  <c r="J541" i="9"/>
  <c r="M542" i="9"/>
  <c r="L542" i="9"/>
  <c r="I541" i="9"/>
  <c r="G542" i="9"/>
  <c r="C543" i="9" s="1"/>
  <c r="AV51" i="8" l="1"/>
  <c r="AV78" i="11" s="1"/>
  <c r="AV17" i="7"/>
  <c r="AV77" i="11" s="1"/>
  <c r="AW14" i="7"/>
  <c r="AV16" i="7"/>
  <c r="AV4" i="11"/>
  <c r="I542" i="9"/>
  <c r="E543" i="9"/>
  <c r="G543" i="9" s="1"/>
  <c r="C544" i="9" s="1"/>
  <c r="J542" i="9"/>
  <c r="AV3" i="11"/>
  <c r="AV50" i="8"/>
  <c r="AV5" i="11" l="1"/>
  <c r="M543" i="9"/>
  <c r="L543" i="9"/>
  <c r="E544" i="9"/>
  <c r="G544" i="9" s="1"/>
  <c r="C545" i="9" s="1"/>
  <c r="E545" i="9" l="1"/>
  <c r="I543" i="9"/>
  <c r="M544" i="9"/>
  <c r="L544" i="9"/>
  <c r="J543" i="9"/>
  <c r="I544" i="9" l="1"/>
  <c r="J544" i="9"/>
  <c r="M545" i="9"/>
  <c r="L545" i="9"/>
  <c r="G545" i="9"/>
  <c r="C546" i="9" s="1"/>
  <c r="E546" i="9" l="1"/>
  <c r="J545" i="9"/>
  <c r="I545" i="9"/>
  <c r="M546" i="9" l="1"/>
  <c r="L546" i="9"/>
  <c r="G546" i="9"/>
  <c r="C547" i="9" s="1"/>
  <c r="I546" i="9" l="1"/>
  <c r="E547" i="9"/>
  <c r="J546" i="9"/>
  <c r="M547" i="9" l="1"/>
  <c r="L547" i="9"/>
  <c r="G547" i="9"/>
  <c r="C548" i="9" s="1"/>
  <c r="I547" i="9" l="1"/>
  <c r="E548" i="9"/>
  <c r="J547" i="9"/>
  <c r="M548" i="9" l="1"/>
  <c r="L548" i="9"/>
  <c r="G548" i="9"/>
  <c r="C549" i="9" s="1"/>
  <c r="I548" i="9" l="1"/>
  <c r="E549" i="9"/>
  <c r="J548" i="9"/>
  <c r="M549" i="9" l="1"/>
  <c r="L549" i="9"/>
  <c r="G549" i="9"/>
  <c r="C550" i="9" s="1"/>
  <c r="I549" i="9" l="1"/>
  <c r="E550" i="9"/>
  <c r="J549" i="9"/>
  <c r="M550" i="9" l="1"/>
  <c r="L550" i="9"/>
  <c r="G550" i="9"/>
  <c r="C551" i="9" s="1"/>
  <c r="I550" i="9" l="1"/>
  <c r="R550" i="9"/>
  <c r="AW5" i="8" s="1"/>
  <c r="AW41" i="8" s="1"/>
  <c r="E551" i="9"/>
  <c r="J550" i="9"/>
  <c r="S550" i="9"/>
  <c r="AW6" i="8" s="1"/>
  <c r="M551" i="9" l="1"/>
  <c r="L551" i="9"/>
  <c r="AW7" i="8"/>
  <c r="G551" i="9"/>
  <c r="C552" i="9" s="1"/>
  <c r="AW55" i="8" l="1"/>
  <c r="AW29" i="8" s="1"/>
  <c r="AW24" i="8"/>
  <c r="AW39" i="11"/>
  <c r="AW43" i="11" s="1"/>
  <c r="E552" i="9"/>
  <c r="I551" i="9"/>
  <c r="AW42" i="8"/>
  <c r="J551" i="9"/>
  <c r="M552" i="9" l="1"/>
  <c r="L552" i="9"/>
  <c r="G552" i="9"/>
  <c r="C553" i="9" s="1"/>
  <c r="AW45" i="8"/>
  <c r="AW43" i="8"/>
  <c r="AW25" i="8"/>
  <c r="AW30" i="8"/>
  <c r="AW26" i="8"/>
  <c r="E553" i="9" l="1"/>
  <c r="I552" i="9"/>
  <c r="AW32" i="8"/>
  <c r="AW31" i="8"/>
  <c r="AW36" i="8"/>
  <c r="J552" i="9"/>
  <c r="M553" i="9" l="1"/>
  <c r="L553" i="9"/>
  <c r="AW37" i="8"/>
  <c r="AW38" i="8"/>
  <c r="AW13" i="7"/>
  <c r="AW46" i="8"/>
  <c r="AW48" i="8" s="1"/>
  <c r="G553" i="9"/>
  <c r="C554" i="9" s="1"/>
  <c r="AW15" i="7" l="1"/>
  <c r="AW17" i="7" s="1"/>
  <c r="AW77" i="11" s="1"/>
  <c r="E554" i="9"/>
  <c r="G554" i="9" s="1"/>
  <c r="C555" i="9" s="1"/>
  <c r="I553" i="9"/>
  <c r="AX47" i="8"/>
  <c r="AW49" i="8"/>
  <c r="AW51" i="8" s="1"/>
  <c r="AW78" i="11" s="1"/>
  <c r="J553" i="9"/>
  <c r="AX14" i="7" l="1"/>
  <c r="AW16" i="7"/>
  <c r="AW4" i="11"/>
  <c r="E555" i="9"/>
  <c r="M554" i="9"/>
  <c r="L554" i="9"/>
  <c r="AW3" i="11"/>
  <c r="AW50" i="8"/>
  <c r="AW5" i="11" l="1"/>
  <c r="J554" i="9"/>
  <c r="I554" i="9"/>
  <c r="M555" i="9"/>
  <c r="L555" i="9"/>
  <c r="G555" i="9"/>
  <c r="C556" i="9" s="1"/>
  <c r="I555" i="9" l="1"/>
  <c r="J555" i="9"/>
  <c r="E556" i="9"/>
  <c r="M556" i="9" l="1"/>
  <c r="L556" i="9"/>
  <c r="I556" i="9" s="1"/>
  <c r="G556" i="9"/>
  <c r="C557" i="9" s="1"/>
  <c r="E557" i="9" l="1"/>
  <c r="J556" i="9"/>
  <c r="M557" i="9" l="1"/>
  <c r="L557" i="9"/>
  <c r="I557" i="9" s="1"/>
  <c r="G557" i="9"/>
  <c r="C558" i="9" s="1"/>
  <c r="E558" i="9" l="1"/>
  <c r="J557" i="9"/>
  <c r="M558" i="9" l="1"/>
  <c r="L558" i="9"/>
  <c r="I558" i="9" s="1"/>
  <c r="G558" i="9"/>
  <c r="C559" i="9" s="1"/>
  <c r="E559" i="9" l="1"/>
  <c r="J558" i="9"/>
  <c r="M559" i="9" l="1"/>
  <c r="L559" i="9"/>
  <c r="G559" i="9"/>
  <c r="C560" i="9" s="1"/>
  <c r="I559" i="9" l="1"/>
  <c r="E560" i="9"/>
  <c r="J559" i="9"/>
  <c r="M560" i="9" l="1"/>
  <c r="L560" i="9"/>
  <c r="I560" i="9" s="1"/>
  <c r="G560" i="9"/>
  <c r="C561" i="9" s="1"/>
  <c r="E561" i="9" l="1"/>
  <c r="J560" i="9"/>
  <c r="M561" i="9" l="1"/>
  <c r="L561" i="9"/>
  <c r="I561" i="9" s="1"/>
  <c r="G561" i="9"/>
  <c r="C562" i="9" s="1"/>
  <c r="E562" i="9" l="1"/>
  <c r="J561" i="9"/>
  <c r="M562" i="9" l="1"/>
  <c r="L562" i="9"/>
  <c r="G562" i="9"/>
  <c r="C563" i="9" s="1"/>
  <c r="I562" i="9" l="1"/>
  <c r="R562" i="9"/>
  <c r="AX5" i="8" s="1"/>
  <c r="AX41" i="8" s="1"/>
  <c r="E563" i="9"/>
  <c r="J562" i="9"/>
  <c r="S562" i="9"/>
  <c r="AX6" i="8" s="1"/>
  <c r="M563" i="9" l="1"/>
  <c r="L563" i="9"/>
  <c r="AX7" i="8"/>
  <c r="G563" i="9"/>
  <c r="C564" i="9" s="1"/>
  <c r="AX55" i="8" l="1"/>
  <c r="AX29" i="8" s="1"/>
  <c r="AX39" i="11"/>
  <c r="AX43" i="11" s="1"/>
  <c r="AX24" i="8"/>
  <c r="E564" i="9"/>
  <c r="G564" i="9" s="1"/>
  <c r="C565" i="9" s="1"/>
  <c r="I563" i="9"/>
  <c r="AX42" i="8"/>
  <c r="J563" i="9"/>
  <c r="E565" i="9" l="1"/>
  <c r="AX25" i="8"/>
  <c r="AX26" i="8"/>
  <c r="AX30" i="8"/>
  <c r="M564" i="9"/>
  <c r="L564" i="9"/>
  <c r="AX43" i="8"/>
  <c r="AX45" i="8"/>
  <c r="I564" i="9" l="1"/>
  <c r="J564" i="9"/>
  <c r="AX31" i="8"/>
  <c r="AX36" i="8"/>
  <c r="AX32" i="8"/>
  <c r="M565" i="9"/>
  <c r="L565" i="9"/>
  <c r="G565" i="9"/>
  <c r="C566" i="9" s="1"/>
  <c r="I565" i="9" l="1"/>
  <c r="J565" i="9"/>
  <c r="E566" i="9"/>
  <c r="G566" i="9" s="1"/>
  <c r="C567" i="9" s="1"/>
  <c r="AX38" i="8"/>
  <c r="AX37" i="8"/>
  <c r="AX13" i="7"/>
  <c r="AX46" i="8"/>
  <c r="AX48" i="8" s="1"/>
  <c r="AX15" i="7" l="1"/>
  <c r="AX17" i="7" s="1"/>
  <c r="AX77" i="11" s="1"/>
  <c r="AY47" i="8"/>
  <c r="AX49" i="8"/>
  <c r="AX51" i="8" s="1"/>
  <c r="AX78" i="11" s="1"/>
  <c r="M566" i="9"/>
  <c r="L566" i="9"/>
  <c r="E567" i="9"/>
  <c r="AY14" i="7" l="1"/>
  <c r="AX16" i="7"/>
  <c r="AX4" i="11"/>
  <c r="I566" i="9"/>
  <c r="J566" i="9"/>
  <c r="M567" i="9"/>
  <c r="L567" i="9"/>
  <c r="G567" i="9"/>
  <c r="C568" i="9" s="1"/>
  <c r="AX3" i="11"/>
  <c r="AX50" i="8"/>
  <c r="AX5" i="11" l="1"/>
  <c r="J567" i="9"/>
  <c r="I567" i="9"/>
  <c r="E568" i="9"/>
  <c r="M568" i="9" l="1"/>
  <c r="L568" i="9"/>
  <c r="G568" i="9"/>
  <c r="C569" i="9" s="1"/>
  <c r="I568" i="9" l="1"/>
  <c r="E569" i="9"/>
  <c r="J568" i="9"/>
  <c r="M569" i="9" l="1"/>
  <c r="L569" i="9"/>
  <c r="G569" i="9"/>
  <c r="C570" i="9" s="1"/>
  <c r="I569" i="9" l="1"/>
  <c r="E570" i="9"/>
  <c r="J569" i="9"/>
  <c r="M570" i="9" l="1"/>
  <c r="L570" i="9"/>
  <c r="G570" i="9"/>
  <c r="C571" i="9" s="1"/>
  <c r="I570" i="9" l="1"/>
  <c r="E571" i="9"/>
  <c r="J570" i="9"/>
  <c r="M571" i="9" l="1"/>
  <c r="L571" i="9"/>
  <c r="I571" i="9" s="1"/>
  <c r="G571" i="9"/>
  <c r="C572" i="9" s="1"/>
  <c r="E572" i="9" l="1"/>
  <c r="J571" i="9"/>
  <c r="M572" i="9" l="1"/>
  <c r="L572" i="9"/>
  <c r="I572" i="9" s="1"/>
  <c r="G572" i="9"/>
  <c r="C573" i="9" s="1"/>
  <c r="E573" i="9" l="1"/>
  <c r="J572" i="9"/>
  <c r="M573" i="9" l="1"/>
  <c r="L573" i="9"/>
  <c r="I573" i="9" s="1"/>
  <c r="G573" i="9"/>
  <c r="C574" i="9" s="1"/>
  <c r="E574" i="9" l="1"/>
  <c r="J573" i="9"/>
  <c r="M574" i="9" l="1"/>
  <c r="L574" i="9"/>
  <c r="G574" i="9"/>
  <c r="C575" i="9" s="1"/>
  <c r="I574" i="9" l="1"/>
  <c r="R574" i="9"/>
  <c r="AY5" i="8" s="1"/>
  <c r="AY41" i="8" s="1"/>
  <c r="E575" i="9"/>
  <c r="J574" i="9"/>
  <c r="S574" i="9"/>
  <c r="AY6" i="8" s="1"/>
  <c r="M575" i="9" l="1"/>
  <c r="L575" i="9"/>
  <c r="AY7" i="8"/>
  <c r="G575" i="9"/>
  <c r="C576" i="9" s="1"/>
  <c r="AY39" i="11" l="1"/>
  <c r="AY43" i="11" s="1"/>
  <c r="AY55" i="8"/>
  <c r="AY29" i="8" s="1"/>
  <c r="AY24" i="8"/>
  <c r="E576" i="9"/>
  <c r="I575" i="9"/>
  <c r="AY42" i="8"/>
  <c r="J575" i="9"/>
  <c r="M576" i="9" l="1"/>
  <c r="L576" i="9"/>
  <c r="G576" i="9"/>
  <c r="C577" i="9" s="1"/>
  <c r="AY25" i="8"/>
  <c r="AY30" i="8"/>
  <c r="AY26" i="8"/>
  <c r="AY45" i="8"/>
  <c r="AY43" i="8"/>
  <c r="E577" i="9" l="1"/>
  <c r="I576" i="9"/>
  <c r="AY36" i="8"/>
  <c r="AY32" i="8"/>
  <c r="AY31" i="8"/>
  <c r="J576" i="9"/>
  <c r="AY38" i="8" l="1"/>
  <c r="AY37" i="8"/>
  <c r="AY13" i="7"/>
  <c r="AY46" i="8"/>
  <c r="AY48" i="8" s="1"/>
  <c r="M577" i="9"/>
  <c r="L577" i="9"/>
  <c r="G577" i="9"/>
  <c r="C578" i="9" s="1"/>
  <c r="AY15" i="7" l="1"/>
  <c r="AY17" i="7" s="1"/>
  <c r="AY77" i="11" s="1"/>
  <c r="I577" i="9"/>
  <c r="AZ47" i="8"/>
  <c r="AY49" i="8"/>
  <c r="AY51" i="8" s="1"/>
  <c r="AY78" i="11" s="1"/>
  <c r="E578" i="9"/>
  <c r="J577" i="9"/>
  <c r="AZ14" i="7" l="1"/>
  <c r="AY16" i="7"/>
  <c r="AY4" i="11"/>
  <c r="M578" i="9"/>
  <c r="L578" i="9"/>
  <c r="G578" i="9"/>
  <c r="C579" i="9" s="1"/>
  <c r="AY3" i="11"/>
  <c r="AY50" i="8"/>
  <c r="AY5" i="11" l="1"/>
  <c r="I578" i="9"/>
  <c r="J578" i="9"/>
  <c r="E579" i="9"/>
  <c r="G579" i="9" s="1"/>
  <c r="C580" i="9" s="1"/>
  <c r="E580" i="9" l="1"/>
  <c r="M579" i="9"/>
  <c r="L579" i="9"/>
  <c r="I579" i="9" l="1"/>
  <c r="M580" i="9"/>
  <c r="L580" i="9"/>
  <c r="J579" i="9"/>
  <c r="G580" i="9"/>
  <c r="C581" i="9" s="1"/>
  <c r="I580" i="9" l="1"/>
  <c r="E581" i="9"/>
  <c r="J580" i="9"/>
  <c r="M581" i="9" l="1"/>
  <c r="L581" i="9"/>
  <c r="I581" i="9" s="1"/>
  <c r="G581" i="9"/>
  <c r="C582" i="9" s="1"/>
  <c r="E582" i="9" l="1"/>
  <c r="J581" i="9"/>
  <c r="M582" i="9" l="1"/>
  <c r="L582" i="9"/>
  <c r="I582" i="9" s="1"/>
  <c r="G582" i="9"/>
  <c r="C583" i="9" s="1"/>
  <c r="E583" i="9" l="1"/>
  <c r="J582" i="9"/>
  <c r="M583" i="9" l="1"/>
  <c r="L583" i="9"/>
  <c r="G583" i="9"/>
  <c r="C584" i="9" s="1"/>
  <c r="I583" i="9" l="1"/>
  <c r="E584" i="9"/>
  <c r="J583" i="9"/>
  <c r="M584" i="9" l="1"/>
  <c r="L584" i="9"/>
  <c r="G584" i="9"/>
  <c r="C585" i="9" s="1"/>
  <c r="I584" i="9" l="1"/>
  <c r="E585" i="9"/>
  <c r="J584" i="9"/>
  <c r="M585" i="9" l="1"/>
  <c r="L585" i="9"/>
  <c r="I585" i="9" s="1"/>
  <c r="G585" i="9"/>
  <c r="C586" i="9" s="1"/>
  <c r="E586" i="9" l="1"/>
  <c r="J585" i="9"/>
  <c r="M586" i="9" l="1"/>
  <c r="L586" i="9"/>
  <c r="G586" i="9"/>
  <c r="C587" i="9" s="1"/>
  <c r="I586" i="9" l="1"/>
  <c r="R586" i="9"/>
  <c r="AZ5" i="8" s="1"/>
  <c r="AZ41" i="8" s="1"/>
  <c r="E587" i="9"/>
  <c r="J586" i="9"/>
  <c r="S586" i="9"/>
  <c r="AZ6" i="8" s="1"/>
  <c r="AZ7" i="8" l="1"/>
  <c r="M587" i="9"/>
  <c r="L587" i="9"/>
  <c r="G587" i="9"/>
  <c r="C588" i="9" s="1"/>
  <c r="I587" i="9" l="1"/>
  <c r="E588" i="9"/>
  <c r="AZ42" i="8"/>
  <c r="J587" i="9"/>
  <c r="AZ24" i="8"/>
  <c r="AZ39" i="11"/>
  <c r="AZ43" i="11" s="1"/>
  <c r="AZ55" i="8"/>
  <c r="AZ29" i="8" s="1"/>
  <c r="M588" i="9" l="1"/>
  <c r="L588" i="9"/>
  <c r="G588" i="9"/>
  <c r="C589" i="9" s="1"/>
  <c r="AZ43" i="8"/>
  <c r="AZ45" i="8"/>
  <c r="AZ25" i="8"/>
  <c r="AZ30" i="8"/>
  <c r="AZ26" i="8"/>
  <c r="E589" i="9" l="1"/>
  <c r="G589" i="9" s="1"/>
  <c r="C590" i="9" s="1"/>
  <c r="I588" i="9"/>
  <c r="AZ32" i="8"/>
  <c r="AZ36" i="8"/>
  <c r="AZ31" i="8"/>
  <c r="J588" i="9"/>
  <c r="E590" i="9" l="1"/>
  <c r="M589" i="9"/>
  <c r="L589" i="9"/>
  <c r="AZ37" i="8"/>
  <c r="AZ38" i="8"/>
  <c r="AZ13" i="7"/>
  <c r="AZ46" i="8"/>
  <c r="AZ48" i="8" s="1"/>
  <c r="AZ15" i="7" l="1"/>
  <c r="AZ17" i="7" s="1"/>
  <c r="AZ77" i="11" s="1"/>
  <c r="I589" i="9"/>
  <c r="J589" i="9"/>
  <c r="M590" i="9"/>
  <c r="L590" i="9"/>
  <c r="BA47" i="8"/>
  <c r="AZ49" i="8"/>
  <c r="AZ51" i="8" s="1"/>
  <c r="AZ78" i="11" s="1"/>
  <c r="G590" i="9"/>
  <c r="C591" i="9" s="1"/>
  <c r="BA14" i="7" l="1"/>
  <c r="AZ16" i="7"/>
  <c r="AZ4" i="11"/>
  <c r="I590" i="9"/>
  <c r="AZ3" i="11"/>
  <c r="AZ50" i="8"/>
  <c r="E591" i="9"/>
  <c r="J590" i="9"/>
  <c r="AZ5" i="11" l="1"/>
  <c r="M591" i="9"/>
  <c r="L591" i="9"/>
  <c r="G591" i="9"/>
  <c r="C592" i="9" s="1"/>
  <c r="E592" i="9" l="1"/>
  <c r="I591" i="9"/>
  <c r="J591" i="9"/>
  <c r="M592" i="9" l="1"/>
  <c r="L592" i="9"/>
  <c r="G592" i="9"/>
  <c r="C593" i="9" s="1"/>
  <c r="I592" i="9" l="1"/>
  <c r="E593" i="9"/>
  <c r="J592" i="9"/>
  <c r="M593" i="9" l="1"/>
  <c r="L593" i="9"/>
  <c r="G593" i="9"/>
  <c r="C594" i="9" s="1"/>
  <c r="I593" i="9" l="1"/>
  <c r="E594" i="9"/>
  <c r="J593" i="9"/>
  <c r="M594" i="9" l="1"/>
  <c r="L594" i="9"/>
  <c r="I594" i="9" s="1"/>
  <c r="G594" i="9"/>
  <c r="C595" i="9" s="1"/>
  <c r="E595" i="9" l="1"/>
  <c r="J594" i="9"/>
  <c r="M595" i="9" l="1"/>
  <c r="L595" i="9"/>
  <c r="I595" i="9" s="1"/>
  <c r="G595" i="9"/>
  <c r="C596" i="9" s="1"/>
  <c r="E596" i="9" l="1"/>
  <c r="J595" i="9"/>
  <c r="M596" i="9" l="1"/>
  <c r="L596" i="9"/>
  <c r="I596" i="9" s="1"/>
  <c r="G596" i="9"/>
  <c r="C597" i="9" s="1"/>
  <c r="E597" i="9" l="1"/>
  <c r="J596" i="9"/>
  <c r="M597" i="9" l="1"/>
  <c r="L597" i="9"/>
  <c r="G597" i="9"/>
  <c r="C598" i="9" s="1"/>
  <c r="I597" i="9" l="1"/>
  <c r="E598" i="9"/>
  <c r="J597" i="9"/>
  <c r="M598" i="9" l="1"/>
  <c r="L598" i="9"/>
  <c r="G598" i="9"/>
  <c r="C599" i="9" s="1"/>
  <c r="I598" i="9" l="1"/>
  <c r="R598" i="9"/>
  <c r="BA5" i="8" s="1"/>
  <c r="BA41" i="8" s="1"/>
  <c r="E599" i="9"/>
  <c r="J598" i="9"/>
  <c r="S598" i="9"/>
  <c r="BA6" i="8" s="1"/>
  <c r="BA7" i="8" l="1"/>
  <c r="M599" i="9"/>
  <c r="L599" i="9"/>
  <c r="G599" i="9"/>
  <c r="C600" i="9" s="1"/>
  <c r="I599" i="9" l="1"/>
  <c r="E600" i="9"/>
  <c r="BA42" i="8"/>
  <c r="J599" i="9"/>
  <c r="BA39" i="11"/>
  <c r="BA43" i="11" s="1"/>
  <c r="BA55" i="8"/>
  <c r="BA29" i="8" s="1"/>
  <c r="BA24" i="8"/>
  <c r="BA43" i="8" l="1"/>
  <c r="BA45" i="8"/>
  <c r="M600" i="9"/>
  <c r="L600" i="9"/>
  <c r="G600" i="9"/>
  <c r="C601" i="9" s="1"/>
  <c r="BA25" i="8"/>
  <c r="BA30" i="8"/>
  <c r="BA26" i="8"/>
  <c r="E601" i="9" l="1"/>
  <c r="G601" i="9" s="1"/>
  <c r="C602" i="9" s="1"/>
  <c r="AZ91" i="4"/>
  <c r="AZ97" i="4" s="1"/>
  <c r="AZ101" i="4" s="1"/>
  <c r="BA31" i="8"/>
  <c r="BA36" i="8"/>
  <c r="AZ92" i="4"/>
  <c r="AZ94" i="4" s="1"/>
  <c r="BA32" i="8"/>
  <c r="I600" i="9"/>
  <c r="J600" i="9"/>
  <c r="BA38" i="8" l="1"/>
  <c r="BA37" i="8"/>
  <c r="BA13" i="7"/>
  <c r="BA46" i="8"/>
  <c r="BA48" i="8" s="1"/>
  <c r="M601" i="9"/>
  <c r="L601" i="9"/>
  <c r="E602" i="9"/>
  <c r="BA15" i="7" l="1"/>
  <c r="BA17" i="7" s="1"/>
  <c r="BA77" i="11" s="1"/>
  <c r="J601" i="9"/>
  <c r="I601" i="9"/>
  <c r="BB47" i="8"/>
  <c r="BA49" i="8"/>
  <c r="BA51" i="8" s="1"/>
  <c r="BA78" i="11" s="1"/>
  <c r="M602" i="9"/>
  <c r="L602" i="9"/>
  <c r="G602" i="9"/>
  <c r="C603" i="9" s="1"/>
  <c r="BB14" i="7" l="1"/>
  <c r="AZ99" i="4"/>
  <c r="BA16" i="7"/>
  <c r="BA4" i="11"/>
  <c r="I602" i="9"/>
  <c r="E603" i="9"/>
  <c r="BA3" i="11"/>
  <c r="BA50" i="8"/>
  <c r="AZ98" i="4"/>
  <c r="J602" i="9"/>
  <c r="AZ100" i="4" l="1"/>
  <c r="BA5" i="11"/>
  <c r="M603" i="9"/>
  <c r="L603" i="9"/>
  <c r="G603" i="9"/>
  <c r="C604" i="9" s="1"/>
  <c r="E604" i="9" l="1"/>
  <c r="I603" i="9"/>
  <c r="J603" i="9"/>
  <c r="M604" i="9" l="1"/>
  <c r="L604" i="9"/>
  <c r="I604" i="9" s="1"/>
  <c r="G604" i="9"/>
  <c r="C605" i="9" s="1"/>
  <c r="E605" i="9" l="1"/>
  <c r="J604" i="9"/>
  <c r="M605" i="9" l="1"/>
  <c r="L605" i="9"/>
  <c r="I605" i="9" s="1"/>
  <c r="G605" i="9"/>
  <c r="C606" i="9" s="1"/>
  <c r="E606" i="9" l="1"/>
  <c r="J605" i="9"/>
  <c r="M606" i="9" l="1"/>
  <c r="L606" i="9"/>
  <c r="G606" i="9"/>
  <c r="C607" i="9" s="1"/>
  <c r="I606" i="9" l="1"/>
  <c r="E607" i="9"/>
  <c r="J606" i="9"/>
  <c r="M607" i="9" l="1"/>
  <c r="L607" i="9"/>
  <c r="I607" i="9" s="1"/>
  <c r="G607" i="9"/>
  <c r="C608" i="9" s="1"/>
  <c r="E608" i="9" l="1"/>
  <c r="J607" i="9"/>
  <c r="M608" i="9" l="1"/>
  <c r="L608" i="9"/>
  <c r="I608" i="9" s="1"/>
  <c r="G608" i="9"/>
  <c r="C609" i="9" s="1"/>
  <c r="E609" i="9" l="1"/>
  <c r="J608" i="9"/>
  <c r="M609" i="9" l="1"/>
  <c r="L609" i="9"/>
  <c r="I609" i="9" s="1"/>
  <c r="G609" i="9"/>
  <c r="C610" i="9" s="1"/>
  <c r="E610" i="9" l="1"/>
  <c r="J609" i="9"/>
  <c r="M610" i="9" l="1"/>
  <c r="D39" i="4" s="1"/>
  <c r="L610" i="9"/>
  <c r="G610" i="9"/>
  <c r="I610" i="9" l="1"/>
  <c r="M4" i="9"/>
  <c r="R610" i="9"/>
  <c r="BB5" i="8" s="1"/>
  <c r="BB41" i="8" s="1"/>
  <c r="J610" i="9"/>
  <c r="M5" i="9"/>
  <c r="O10" i="9" s="1"/>
  <c r="O11" i="9" s="1"/>
  <c r="S610" i="9"/>
  <c r="BB6" i="8" s="1"/>
  <c r="O12" i="9" l="1"/>
  <c r="O13" i="9" s="1"/>
  <c r="J13" i="4"/>
  <c r="M6" i="9"/>
  <c r="BB7" i="8"/>
  <c r="BB42" i="8"/>
  <c r="BB45" i="8" l="1"/>
  <c r="BB43" i="8"/>
  <c r="BB39" i="11"/>
  <c r="BB43" i="11" s="1"/>
  <c r="BB24" i="8"/>
  <c r="BB55" i="8"/>
  <c r="BB29" i="8" s="1"/>
  <c r="BB25" i="8" l="1"/>
  <c r="BB30" i="8"/>
  <c r="BB26" i="8"/>
  <c r="BA91" i="4" l="1"/>
  <c r="BA97" i="4" s="1"/>
  <c r="BA101" i="4" s="1"/>
  <c r="BB36" i="8"/>
  <c r="BA92" i="4"/>
  <c r="BA94" i="4" s="1"/>
  <c r="BB31" i="8"/>
  <c r="BB32" i="8"/>
  <c r="BB37" i="8" l="1"/>
  <c r="BB38" i="8"/>
  <c r="BB13" i="7"/>
  <c r="BB46" i="8"/>
  <c r="BB48" i="8" l="1"/>
  <c r="BB49" i="8" s="1"/>
  <c r="BB51" i="8" s="1"/>
  <c r="BB78" i="11" s="1"/>
  <c r="BB15" i="7"/>
  <c r="BB17" i="7" l="1"/>
  <c r="D19" i="7" s="1"/>
  <c r="D52" i="8"/>
  <c r="BA99" i="4"/>
  <c r="BB16" i="7"/>
  <c r="BB4" i="11"/>
  <c r="BB50" i="8"/>
  <c r="BB3" i="11"/>
  <c r="BA98" i="4"/>
  <c r="C64" i="4" l="1"/>
  <c r="BB77" i="11"/>
  <c r="D18" i="7"/>
  <c r="K5" i="4" s="1"/>
  <c r="C68" i="4"/>
  <c r="J5" i="4"/>
  <c r="D53" i="8"/>
  <c r="BA100" i="4"/>
  <c r="BB5" i="11"/>
  <c r="B64" i="4" l="1"/>
  <c r="B63" i="4"/>
  <c r="B65" i="4"/>
  <c r="I15" i="4" l="1" a="1"/>
  <c r="I15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Заплаткин Максим Русланович</author>
  </authors>
  <commentList>
    <comment ref="D5" authorId="0" shapeId="0" xr:uid="{D01D414A-CD5C-49DF-A728-941D825546BC}">
      <text>
        <r>
          <rPr>
            <sz val="9"/>
            <color indexed="81"/>
            <rFont val="Tahoma"/>
            <family val="2"/>
            <charset val="204"/>
          </rPr>
          <t>Цена покупки квартиры + ремонт, если он в ипотеку</t>
        </r>
      </text>
    </comment>
    <comment ref="D6" authorId="0" shapeId="0" xr:uid="{59B5D594-96DB-442B-8479-CDEF5688A9BE}">
      <text>
        <r>
          <rPr>
            <sz val="9"/>
            <color indexed="81"/>
            <rFont val="Tahoma"/>
            <family val="2"/>
            <charset val="204"/>
          </rPr>
          <t>Все затраты на ремонт квартиры, если они будут проводиться не за счёт ипотеки</t>
        </r>
      </text>
    </comment>
    <comment ref="D7" authorId="0" shapeId="0" xr:uid="{A33D785D-CE48-483D-8BB7-369BE812E85D}">
      <text>
        <r>
          <rPr>
            <sz val="9"/>
            <color indexed="81"/>
            <rFont val="Tahoma"/>
            <family val="2"/>
            <charset val="204"/>
          </rPr>
          <t xml:space="preserve">Период на котором происходит сравнение (не более 50 лет).
</t>
        </r>
      </text>
    </comment>
    <comment ref="J8" authorId="0" shapeId="0" xr:uid="{EB851FB0-ABA3-4C2A-A609-25C128D89E9B}">
      <text>
        <r>
          <rPr>
            <sz val="9"/>
            <color indexed="81"/>
            <rFont val="Tahoma"/>
            <family val="2"/>
            <charset val="204"/>
          </rPr>
          <t xml:space="preserve">Цена квартиры на момент окончания моделирования.
</t>
        </r>
      </text>
    </comment>
    <comment ref="K8" authorId="0" shapeId="0" xr:uid="{55C576F2-3C87-4A8D-A162-33151CF9D7D5}">
      <text>
        <r>
          <rPr>
            <sz val="9"/>
            <color indexed="81"/>
            <rFont val="Tahoma"/>
            <family val="2"/>
            <charset val="204"/>
          </rPr>
          <t xml:space="preserve">Стоимость инвестиционного портфеля в сценарии Аренды/Накопления.
</t>
        </r>
      </text>
    </comment>
    <comment ref="D9" authorId="0" shapeId="0" xr:uid="{C3265AFD-980C-40A7-8155-082FAD90B8D1}">
      <text>
        <r>
          <rPr>
            <sz val="9"/>
            <color indexed="81"/>
            <rFont val="Tahoma"/>
            <family val="2"/>
            <charset val="204"/>
          </rPr>
          <t xml:space="preserve">Средний ожидаемый рост стоимости квартиры за год.
По умолчанию 9% - консервативная оценка роста недвижимости c учётом амортизации
</t>
        </r>
      </text>
    </comment>
    <comment ref="D10" authorId="0" shapeId="0" xr:uid="{625EF36D-17C8-42D9-AA99-A7053B4E7F6D}">
      <text>
        <r>
          <rPr>
            <sz val="9"/>
            <color indexed="81"/>
            <rFont val="Tahoma"/>
            <family val="2"/>
            <charset val="204"/>
          </rPr>
          <t>Доходность аренды в % от стоимости квартиры за вычетом сопутствующих сдаче в аренду расходов.
* = (Доход от сдачи в аренду в мес - сопутсвующий расход в мес.) * 12</t>
        </r>
      </text>
    </comment>
    <comment ref="D11" authorId="0" shapeId="0" xr:uid="{87ECEED0-4CCE-4916-92A8-B3A2264B13B1}">
      <text>
        <r>
          <rPr>
            <sz val="9"/>
            <color indexed="81"/>
            <rFont val="Tahoma"/>
            <family val="2"/>
            <charset val="204"/>
          </rPr>
          <t xml:space="preserve">Квартира будет покупаться в ипотеку или вы сразу же оплатите всю сумму ?
</t>
        </r>
      </text>
    </comment>
    <comment ref="D12" authorId="0" shapeId="0" xr:uid="{BCAD3B8B-A089-4022-BA3D-8DB29DDC60C6}">
      <text>
        <r>
          <rPr>
            <sz val="9"/>
            <color indexed="81"/>
            <rFont val="Tahoma"/>
            <family val="2"/>
            <charset val="204"/>
          </rPr>
          <t>Первоначальный взнос, требуемый банком, для получения ипотеки (Считается, что он у вас уже имеется).
*В случае если имеющаяся у вас сумма превышает требуемый первоначальный взнос и вы готовы использовать её для уменьшения суммы кредита, то увеличьте первоначальный взнос. Например банк требует 30% от цены квартиры, а у вас есть 50%.</t>
        </r>
      </text>
    </comment>
    <comment ref="D13" authorId="0" shapeId="0" xr:uid="{D69F341B-5B99-4BEC-BB2C-20AF705C9FB3}">
      <text>
        <r>
          <rPr>
            <sz val="9"/>
            <color indexed="81"/>
            <rFont val="Tahoma"/>
            <family val="2"/>
            <charset val="204"/>
          </rPr>
          <t>Сумма первоначального взноса в рублях</t>
        </r>
      </text>
    </comment>
    <comment ref="D14" authorId="0" shapeId="0" xr:uid="{0789450F-4067-4F81-8060-DE5AFC0D5498}">
      <text>
        <r>
          <rPr>
            <sz val="9"/>
            <color indexed="81"/>
            <rFont val="Tahoma"/>
            <family val="2"/>
            <charset val="204"/>
          </rPr>
          <t xml:space="preserve">Сумма ипотечного кредита, которую вам необходимо погасить
</t>
        </r>
      </text>
    </comment>
    <comment ref="D15" authorId="0" shapeId="0" xr:uid="{22C0597B-5D26-4764-983C-C22B4449A5FC}">
      <text>
        <r>
          <rPr>
            <sz val="9"/>
            <color indexed="81"/>
            <rFont val="Tahoma"/>
            <family val="2"/>
            <charset val="204"/>
          </rPr>
          <t>Процентная ставка по ипотечному кредиту для вас.
*В случае если у вас есть какие-либо льготы, уменьшающие ставку, учтите их здесь. Например ваш работодатель дополнительно субсидирует ипотеку из-за чего ставка для вас вместо 20% становиться равной 2%.
**Если вы в будущем планируете рефинансировать кредит, необходимо указывать долгосрочную ставку %.</t>
        </r>
      </text>
    </comment>
    <comment ref="D16" authorId="0" shapeId="0" xr:uid="{F7607712-61F4-41DE-BA0A-468DA423EB22}">
      <text>
        <r>
          <rPr>
            <sz val="9"/>
            <color indexed="81"/>
            <rFont val="Tahoma"/>
            <family val="2"/>
            <charset val="204"/>
          </rPr>
          <t>Период ипотеки. Должен быть меньше или равен периоду моделирования.</t>
        </r>
      </text>
    </comment>
    <comment ref="D17" authorId="0" shapeId="0" xr:uid="{0853E5EA-01D6-49F7-B1A1-0F12E3C6C1A9}">
      <text>
        <r>
          <rPr>
            <sz val="9"/>
            <color indexed="81"/>
            <rFont val="Tahoma"/>
            <family val="2"/>
            <charset val="204"/>
          </rPr>
          <t>Ежемесячный платёж по ипотеке, который вы должны быть в состоянии платить.</t>
        </r>
      </text>
    </comment>
    <comment ref="D19" authorId="0" shapeId="0" xr:uid="{14044E78-3365-4D05-A267-A1A30441C0C6}">
      <text>
        <r>
          <rPr>
            <sz val="9"/>
            <color indexed="81"/>
            <rFont val="Tahoma"/>
            <family val="2"/>
            <charset val="204"/>
          </rPr>
          <t xml:space="preserve">Планируется ли страховать квартиру?
*В случае если страховка уже учтена в процентной ставке по ипотеке, то необходимо указать "Нет".
**Если страховка не учтена в процентной ставке по ипотеке, но банк требует её оформить, то необходимо указать "Да" и ввести параметры страховки ниже.
</t>
        </r>
      </text>
    </comment>
    <comment ref="D20" authorId="0" shapeId="0" xr:uid="{DC5241A6-C2DD-441A-B859-999201036048}">
      <text>
        <r>
          <rPr>
            <sz val="9"/>
            <color indexed="81"/>
            <rFont val="Tahoma"/>
            <family val="2"/>
            <charset val="204"/>
          </rPr>
          <t>Как будет рассчитываться стоимость страховки?
"Да" - В процентах от рыночной цены квартиры.
"Нет" - Как фиксированная сумма, которая будет увеличиваться каждый год на определённый процент (например, на уровень инфляции).</t>
        </r>
      </text>
    </comment>
    <comment ref="D21" authorId="0" shapeId="0" xr:uid="{3C52EF14-F4D5-4E87-986F-304001CC5F7E}">
      <text>
        <r>
          <rPr>
            <sz val="9"/>
            <color indexed="81"/>
            <rFont val="Tahoma"/>
            <family val="2"/>
            <charset val="204"/>
          </rPr>
          <t>Расходы в процентах от рыночной цены квартиры.
P.S. По мере увеличения рыночной стоимости объекта недвижимости они будут расти.</t>
        </r>
      </text>
    </comment>
    <comment ref="D22" authorId="0" shapeId="0" xr:uid="{8B119FF5-3049-413D-AE04-C09D6FC53E3F}">
      <text>
        <r>
          <rPr>
            <sz val="9"/>
            <color indexed="81"/>
            <rFont val="Tahoma"/>
            <family val="2"/>
            <charset val="204"/>
          </rPr>
          <t>Ежегодные расходы на страховку квартиры в рублях.</t>
        </r>
      </text>
    </comment>
    <comment ref="D23" authorId="0" shapeId="0" xr:uid="{47640948-A94F-4291-AD91-DDEF15B0E8E8}">
      <text>
        <r>
          <rPr>
            <sz val="9"/>
            <color indexed="81"/>
            <rFont val="Tahoma"/>
            <family val="2"/>
            <charset val="204"/>
          </rPr>
          <t xml:space="preserve">Ежегодный рост стоимости страховки, по умолчанию темп инфляции.
</t>
        </r>
      </text>
    </comment>
    <comment ref="D25" authorId="0" shapeId="0" xr:uid="{7B91C0B3-2C1E-48A2-B154-4FB85574A9E0}">
      <text>
        <r>
          <rPr>
            <sz val="9"/>
            <color indexed="81"/>
            <rFont val="Tahoma"/>
            <family val="2"/>
            <charset val="204"/>
          </rPr>
          <t>Ставка налога на имущество зависит от региона покупки квартиры, её стоимости и квадрометража.
Необходимо определить ставку самостоятельно.
*Если определить точно не представляется возможным, то указывайте завышенное значение.
**В России налог считается от кадастровой стоимости, которая определяется специальной бюджетной организацией раз в 2-4 года. Из-за чего налог сложно прогнозировать, поэтому рекомендуется указывать приблизительное значение и оценивать его на адекватность.</t>
        </r>
      </text>
    </comment>
    <comment ref="K25" authorId="0" shapeId="0" xr:uid="{C1855AB9-7B49-4C43-93F2-7F2229A115BC}">
      <text>
        <r>
          <rPr>
            <sz val="9"/>
            <color indexed="81"/>
            <rFont val="Tahoma"/>
            <family val="2"/>
            <charset val="204"/>
          </rPr>
          <t>Цена покупки квартиры + ремонт, если он в ипотеку</t>
        </r>
      </text>
    </comment>
    <comment ref="L25" authorId="0" shapeId="0" xr:uid="{0EDBBFBA-3B2D-4DBD-B5BF-9BF14A49C605}">
      <text>
        <r>
          <rPr>
            <sz val="9"/>
            <color indexed="81"/>
            <rFont val="Tahoma"/>
            <family val="2"/>
            <charset val="204"/>
          </rPr>
          <t>Цена покупки квартиры + ремонт, если он в ипотеку</t>
        </r>
      </text>
    </comment>
    <comment ref="M25" authorId="0" shapeId="0" xr:uid="{B39506FF-6420-4F7A-A911-79F5D7DD747B}">
      <text>
        <r>
          <rPr>
            <sz val="9"/>
            <color indexed="81"/>
            <rFont val="Tahoma"/>
            <family val="2"/>
            <charset val="204"/>
          </rPr>
          <t>Цена покупки квартиры + ремонт, если он в ипотеку</t>
        </r>
      </text>
    </comment>
    <comment ref="N25" authorId="0" shapeId="0" xr:uid="{A7390495-A0D4-41B2-AE53-FD74882B6CDA}">
      <text>
        <r>
          <rPr>
            <sz val="9"/>
            <color indexed="81"/>
            <rFont val="Tahoma"/>
            <family val="2"/>
            <charset val="204"/>
          </rPr>
          <t>Цена покупки квартиры + ремонт, если он в ипотеку</t>
        </r>
      </text>
    </comment>
    <comment ref="D26" authorId="0" shapeId="0" xr:uid="{478C0D67-9173-4B5A-8739-78C1FAC007FB}">
      <text>
        <r>
          <rPr>
            <sz val="9"/>
            <color indexed="81"/>
            <rFont val="Tahoma"/>
            <family val="2"/>
            <charset val="204"/>
          </rPr>
          <t>Платёж по налогу на имущество для 1-го года.
*Указан для того, чтобы вам было проще понять адекватность уплачиваемого налога.</t>
        </r>
      </text>
    </comment>
    <comment ref="K26" authorId="0" shapeId="0" xr:uid="{F167AEED-0258-4C47-A6D8-4D0E6A95DFCA}">
      <text>
        <r>
          <rPr>
            <sz val="9"/>
            <color indexed="81"/>
            <rFont val="Tahoma"/>
            <family val="2"/>
            <charset val="204"/>
          </rPr>
          <t>Все затраты на ремонт квартиры, если они будут проводиться не за счёт ипотеки</t>
        </r>
      </text>
    </comment>
    <comment ref="L26" authorId="0" shapeId="0" xr:uid="{993627D3-6FE6-41EF-A8C1-33749316C202}">
      <text>
        <r>
          <rPr>
            <sz val="9"/>
            <color indexed="81"/>
            <rFont val="Tahoma"/>
            <family val="2"/>
            <charset val="204"/>
          </rPr>
          <t>Все затраты на ремонт квартиры, если они будут проводиться не за счёт ипотеки</t>
        </r>
      </text>
    </comment>
    <comment ref="M26" authorId="0" shapeId="0" xr:uid="{FC6F41EB-B37B-4822-9E7F-590BB404AFBB}">
      <text>
        <r>
          <rPr>
            <sz val="9"/>
            <color indexed="81"/>
            <rFont val="Tahoma"/>
            <family val="2"/>
            <charset val="204"/>
          </rPr>
          <t>Все затраты на ремонт квартиры, если они будут проводиться не за счёт ипотеки</t>
        </r>
      </text>
    </comment>
    <comment ref="N26" authorId="0" shapeId="0" xr:uid="{DFA7F4A5-2E2C-440E-B232-B53BA80924ED}">
      <text>
        <r>
          <rPr>
            <sz val="9"/>
            <color indexed="81"/>
            <rFont val="Tahoma"/>
            <family val="2"/>
            <charset val="204"/>
          </rPr>
          <t>Все затраты на ремонт квартиры, если они будут проводиться не за счёт ипотеки</t>
        </r>
      </text>
    </comment>
    <comment ref="K27" authorId="0" shapeId="0" xr:uid="{EFF61985-6207-4F7C-9377-6DC172CABE23}">
      <text>
        <r>
          <rPr>
            <sz val="9"/>
            <color indexed="81"/>
            <rFont val="Tahoma"/>
            <family val="2"/>
            <charset val="204"/>
          </rPr>
          <t xml:space="preserve">Период на котором происходит сравнение (не более 50 лет).
</t>
        </r>
      </text>
    </comment>
    <comment ref="L27" authorId="0" shapeId="0" xr:uid="{B30B76A6-CBEC-4AF6-9D94-8175F32BE468}">
      <text>
        <r>
          <rPr>
            <sz val="9"/>
            <color indexed="81"/>
            <rFont val="Tahoma"/>
            <family val="2"/>
            <charset val="204"/>
          </rPr>
          <t xml:space="preserve">Период на котором происходит сравнение (не более 50 лет).
</t>
        </r>
      </text>
    </comment>
    <comment ref="M27" authorId="0" shapeId="0" xr:uid="{85DD4387-A874-414E-A0DC-EC7BF9C2B95C}">
      <text>
        <r>
          <rPr>
            <sz val="9"/>
            <color indexed="81"/>
            <rFont val="Tahoma"/>
            <family val="2"/>
            <charset val="204"/>
          </rPr>
          <t xml:space="preserve">Период на котором происходит сравнение (не более 50 лет).
</t>
        </r>
      </text>
    </comment>
    <comment ref="N27" authorId="0" shapeId="0" xr:uid="{C4A69BDD-F040-43F4-9907-023C2B25D4F3}">
      <text>
        <r>
          <rPr>
            <sz val="9"/>
            <color indexed="81"/>
            <rFont val="Tahoma"/>
            <family val="2"/>
            <charset val="204"/>
          </rPr>
          <t xml:space="preserve">Период на котором происходит сравнение (не более 50 лет).
</t>
        </r>
      </text>
    </comment>
    <comment ref="D28" authorId="0" shapeId="0" xr:uid="{715D928A-BB52-4B6C-9D40-05F48A3E4E2E}">
      <text>
        <r>
          <rPr>
            <sz val="9"/>
            <color indexed="81"/>
            <rFont val="Tahoma"/>
            <family val="2"/>
            <charset val="204"/>
          </rPr>
          <t>Расходы на воду (холодную и горячую), газ, электричество, вынос мусора, отопление, канализацию. 
*Пример: Если вы в летний период (на протяжении 6 мес.) платите 5000р за ЖКУ, а в зимний период (также 6 мес.) платите 10000р, то в ячейку необходимо указывать средневзвешенную величину, которая для данного случая равна 7500р в мес.
**Если вы планируете сдавать купленную квартиру в аренду и уже это учли при вводе роста стоимости, то рекомендуется указать в этом пункте значение 0, так как российская практика предполагает перекладывание расходов по ЖКУ на арендатора. Таким образом для вас, как для арендодателя, они будут равны 0.</t>
        </r>
      </text>
    </comment>
    <comment ref="D29" authorId="0" shapeId="0" xr:uid="{CD53C4D9-E29F-420A-9769-1A0E68E39B67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капитальный ремонт общих помещений и прилегающей территории, комуникаций и так далее.
В случае если дом новый указываем 0.
</t>
        </r>
      </text>
    </comment>
    <comment ref="K29" authorId="0" shapeId="0" xr:uid="{49F249E2-7985-43A8-B674-FBF10ADBDA0D}">
      <text>
        <r>
          <rPr>
            <sz val="9"/>
            <color indexed="81"/>
            <rFont val="Tahoma"/>
            <family val="2"/>
            <charset val="204"/>
          </rPr>
          <t xml:space="preserve">Средний ожидаемый рост стоимости квартиры за год.
По умолчанию 9% - консервативная оценка роста недвижимости c учётом амортизации
</t>
        </r>
      </text>
    </comment>
    <comment ref="L29" authorId="0" shapeId="0" xr:uid="{3A29C087-1681-44D9-B61A-79E62EB65649}">
      <text>
        <r>
          <rPr>
            <sz val="9"/>
            <color indexed="81"/>
            <rFont val="Tahoma"/>
            <family val="2"/>
            <charset val="204"/>
          </rPr>
          <t xml:space="preserve">Средний ожидаемый рост стоимости квартиры за год.
По умолчанию 9% - консервативная оценка роста недвижимости c учётом амортизации
</t>
        </r>
      </text>
    </comment>
    <comment ref="M29" authorId="0" shapeId="0" xr:uid="{016D7FF4-2DBE-4FEC-A387-480A01FE193B}">
      <text>
        <r>
          <rPr>
            <sz val="9"/>
            <color indexed="81"/>
            <rFont val="Tahoma"/>
            <family val="2"/>
            <charset val="204"/>
          </rPr>
          <t xml:space="preserve">Средний ожидаемый рост стоимости квартиры за год.
По умолчанию 9% - консервативная оценка роста недвижимости c учётом амортизации
</t>
        </r>
      </text>
    </comment>
    <comment ref="N29" authorId="0" shapeId="0" xr:uid="{93319684-2DF9-4881-B2DE-91BC2CE2BB4E}">
      <text>
        <r>
          <rPr>
            <sz val="9"/>
            <color indexed="81"/>
            <rFont val="Tahoma"/>
            <family val="2"/>
            <charset val="204"/>
          </rPr>
          <t xml:space="preserve">Средний ожидаемый рост стоимости квартиры за год.
По умолчанию 9% - консервативная оценка роста недвижимости c учётом амортизации
</t>
        </r>
      </text>
    </comment>
    <comment ref="D30" authorId="0" shapeId="0" xr:uid="{D3914F50-2C38-44A2-A3D2-EDB3D1F5AD41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обслуживание шлагбаума, домофона, консьержа и др.
</t>
        </r>
      </text>
    </comment>
    <comment ref="K30" authorId="0" shapeId="0" xr:uid="{5C1F3E4E-8C76-40C5-9AE0-3DAA15CBE123}">
      <text>
        <r>
          <rPr>
            <sz val="9"/>
            <color indexed="81"/>
            <rFont val="Tahoma"/>
            <family val="2"/>
            <charset val="204"/>
          </rPr>
          <t>Доходность аренды в % от стоимости квартиры за вычетом сопутствующих сдаче в аренду расходов.
* = (Доход от сдачи в аренду в мес - сопутсвующий расход в мес.) * 12</t>
        </r>
      </text>
    </comment>
    <comment ref="L30" authorId="0" shapeId="0" xr:uid="{CE099D9D-482D-496E-B2CC-ECFC21B3AEF8}">
      <text>
        <r>
          <rPr>
            <sz val="9"/>
            <color indexed="81"/>
            <rFont val="Tahoma"/>
            <family val="2"/>
            <charset val="204"/>
          </rPr>
          <t>Доходность аренды в % от стоимости квартиры за вычетом сопутствующих сдаче в аренду расходов.
* = (Доход от сдачи в аренду в мес - сопутсвующий расход в мес.) * 12</t>
        </r>
      </text>
    </comment>
    <comment ref="M30" authorId="0" shapeId="0" xr:uid="{292AEB28-24E3-4977-BBD5-95C582FE2F08}">
      <text>
        <r>
          <rPr>
            <sz val="9"/>
            <color indexed="81"/>
            <rFont val="Tahoma"/>
            <family val="2"/>
            <charset val="204"/>
          </rPr>
          <t>Доходность аренды в % от стоимости квартиры за вычетом сопутствующих сдаче в аренду расходов.
* = (Доход от сдачи в аренду в мес - сопутсвующий расход в мес.) * 12</t>
        </r>
      </text>
    </comment>
    <comment ref="N30" authorId="0" shapeId="0" xr:uid="{89021590-D343-4373-9933-FADDA18CD72E}">
      <text>
        <r>
          <rPr>
            <sz val="9"/>
            <color indexed="81"/>
            <rFont val="Tahoma"/>
            <family val="2"/>
            <charset val="204"/>
          </rPr>
          <t>Доходность аренды в % от стоимости квартиры за вычетом сопутствующих сдаче в аренду расходов.
* = (Доход от сдачи в аренду в мес - сопутсвующий расход в мес.) * 12</t>
        </r>
      </text>
    </comment>
    <comment ref="D31" authorId="0" shapeId="0" xr:uid="{F0704AC3-DB49-42F3-A879-790CCE69ABCA}">
      <text>
        <r>
          <rPr>
            <sz val="9"/>
            <color indexed="81"/>
            <rFont val="Tahoma"/>
            <family val="2"/>
            <charset val="204"/>
          </rPr>
          <t xml:space="preserve">Сумма расходов по ЖКУ, кап. ремонту и прочих. 
</t>
        </r>
      </text>
    </comment>
    <comment ref="K31" authorId="0" shapeId="0" xr:uid="{34CD46E1-16CD-4891-BC25-029565533C3D}">
      <text>
        <r>
          <rPr>
            <sz val="9"/>
            <color indexed="81"/>
            <rFont val="Tahoma"/>
            <family val="2"/>
            <charset val="204"/>
          </rPr>
          <t xml:space="preserve">Квартира будет покупаться в ипотеку или вы сразу же оплатите всю сумму ?
</t>
        </r>
      </text>
    </comment>
    <comment ref="L31" authorId="0" shapeId="0" xr:uid="{1E3D62F6-0BDA-45D4-B381-8C1D931A3A94}">
      <text>
        <r>
          <rPr>
            <sz val="9"/>
            <color indexed="81"/>
            <rFont val="Tahoma"/>
            <family val="2"/>
            <charset val="204"/>
          </rPr>
          <t xml:space="preserve">Квартира будет покупаться в ипотеку или вы сразу же оплатите всю сумму ?
</t>
        </r>
      </text>
    </comment>
    <comment ref="M31" authorId="0" shapeId="0" xr:uid="{C4E30DB1-C1E6-4C69-B181-885878E76E97}">
      <text>
        <r>
          <rPr>
            <sz val="9"/>
            <color indexed="81"/>
            <rFont val="Tahoma"/>
            <family val="2"/>
            <charset val="204"/>
          </rPr>
          <t xml:space="preserve">Квартира будет покупаться в ипотеку или вы сразу же оплатите всю сумму ?
</t>
        </r>
      </text>
    </comment>
    <comment ref="N31" authorId="0" shapeId="0" xr:uid="{ED4953BA-C315-4B68-8B63-834FB24483CE}">
      <text>
        <r>
          <rPr>
            <sz val="9"/>
            <color indexed="81"/>
            <rFont val="Tahoma"/>
            <family val="2"/>
            <charset val="204"/>
          </rPr>
          <t xml:space="preserve">Квартира будет покупаться в ипотеку или вы сразу же оплатите всю сумму ?
</t>
        </r>
      </text>
    </comment>
    <comment ref="K32" authorId="0" shapeId="0" xr:uid="{03E34BBA-5C8C-4F7A-AC55-35388FC0C37D}">
      <text>
        <r>
          <rPr>
            <sz val="9"/>
            <color indexed="81"/>
            <rFont val="Tahoma"/>
            <family val="2"/>
            <charset val="204"/>
          </rPr>
          <t>Первоначальный взнос, требуемый банком, для получения ипотеки (Считается, что он у вас уже имеется).
*В случае если имеющаяся у вас сумма превышает требуемый первоначальный взнос и вы готовы использовать её для уменьшения суммы кредита, то увеличьте первоначальный взнос. Например банк требует 30% от цены квартиры, а у вас есть 50%.</t>
        </r>
      </text>
    </comment>
    <comment ref="L32" authorId="0" shapeId="0" xr:uid="{FBCCDA34-AADD-4449-8323-20F475E639A5}">
      <text>
        <r>
          <rPr>
            <sz val="9"/>
            <color indexed="81"/>
            <rFont val="Tahoma"/>
            <family val="2"/>
            <charset val="204"/>
          </rPr>
          <t>Первоначальный взнос, требуемый банком, для получения ипотеки (Считается, что он у вас уже имеется).
*В случае если имеющаяся у вас сумма превышает требуемый первоначальный взнос и вы готовы использовать её для уменьшения суммы кредита, то увеличьте первоначальный взнос. Например банк требует 30% от цены квартиры, а у вас есть 50%.</t>
        </r>
      </text>
    </comment>
    <comment ref="M32" authorId="0" shapeId="0" xr:uid="{10F82D5F-6B16-4A9D-9B4B-7000B03541EA}">
      <text>
        <r>
          <rPr>
            <sz val="9"/>
            <color indexed="81"/>
            <rFont val="Tahoma"/>
            <family val="2"/>
            <charset val="204"/>
          </rPr>
          <t>Первоначальный взнос, требуемый банком, для получения ипотеки (Считается, что он у вас уже имеется).
*В случае если имеющаяся у вас сумма превышает требуемый первоначальный взнос и вы готовы использовать её для уменьшения суммы кредита, то увеличьте первоначальный взнос. Например банк требует 30% от цены квартиры, а у вас есть 50%.</t>
        </r>
      </text>
    </comment>
    <comment ref="N32" authorId="0" shapeId="0" xr:uid="{8F9EBF6C-1349-415C-83F6-6AC4F34976D5}">
      <text>
        <r>
          <rPr>
            <sz val="9"/>
            <color indexed="81"/>
            <rFont val="Tahoma"/>
            <family val="2"/>
            <charset val="204"/>
          </rPr>
          <t>Первоначальный взнос, требуемый банком, для получения ипотеки (Считается, что он у вас уже имеется).
*В случае если имеющаяся у вас сумма превышает требуемый первоначальный взнос и вы готовы использовать её для уменьшения суммы кредита, то увеличьте первоначальный взнос. Например банк требует 30% от цены квартиры, а у вас есть 50%.</t>
        </r>
      </text>
    </comment>
    <comment ref="D33" authorId="0" shapeId="0" xr:uid="{07DA49D7-6F73-4909-8788-FF3B4FBB8D91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покупке квартиры расходы. Например на услуги риелтора.
</t>
        </r>
      </text>
    </comment>
    <comment ref="K33" authorId="0" shapeId="0" xr:uid="{C9A20393-3804-4BA2-A538-A2B8480A3A6D}">
      <text>
        <r>
          <rPr>
            <sz val="9"/>
            <color indexed="81"/>
            <rFont val="Tahoma"/>
            <family val="2"/>
            <charset val="204"/>
          </rPr>
          <t>Сумма первоначального взноса в рублях</t>
        </r>
      </text>
    </comment>
    <comment ref="L33" authorId="0" shapeId="0" xr:uid="{815A4C71-4162-4900-81C7-CDBC3C5070BF}">
      <text>
        <r>
          <rPr>
            <sz val="9"/>
            <color indexed="81"/>
            <rFont val="Tahoma"/>
            <family val="2"/>
            <charset val="204"/>
          </rPr>
          <t>Сумма первоначального взноса в рублях</t>
        </r>
      </text>
    </comment>
    <comment ref="M33" authorId="0" shapeId="0" xr:uid="{6FDC7AA2-ADAB-4DE8-A473-5E27629F5B69}">
      <text>
        <r>
          <rPr>
            <sz val="9"/>
            <color indexed="81"/>
            <rFont val="Tahoma"/>
            <family val="2"/>
            <charset val="204"/>
          </rPr>
          <t>Сумма первоначального взноса в рублях</t>
        </r>
      </text>
    </comment>
    <comment ref="N33" authorId="0" shapeId="0" xr:uid="{01118B02-2E1C-4D33-9B3E-8DCF3D48ED0E}">
      <text>
        <r>
          <rPr>
            <sz val="9"/>
            <color indexed="81"/>
            <rFont val="Tahoma"/>
            <family val="2"/>
            <charset val="204"/>
          </rPr>
          <t>Сумма первоначального взноса в рублях</t>
        </r>
      </text>
    </comment>
    <comment ref="D34" authorId="0" shapeId="0" xr:uid="{ACEC9F4A-A29F-4590-95D4-622F11C6FA69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продаже квартиры расходы. Например на услуги риелтора, а также на скидку, необходимую для сокращения срока реализации квартиры.
Указывается в % от цены квартиры.
По умолчанию можно установить на уровне 3%.
</t>
        </r>
      </text>
    </comment>
    <comment ref="K34" authorId="0" shapeId="0" xr:uid="{D8DFEE8C-7D3E-4931-83D7-A5E98562851C}">
      <text>
        <r>
          <rPr>
            <sz val="9"/>
            <color indexed="81"/>
            <rFont val="Tahoma"/>
            <family val="2"/>
            <charset val="204"/>
          </rPr>
          <t xml:space="preserve">Сумма ипотечного кредита, которую вам необходимо погасить
</t>
        </r>
      </text>
    </comment>
    <comment ref="L34" authorId="0" shapeId="0" xr:uid="{BBDC4CAF-668D-40EF-9164-38F2BFA02CCE}">
      <text>
        <r>
          <rPr>
            <sz val="9"/>
            <color indexed="81"/>
            <rFont val="Tahoma"/>
            <family val="2"/>
            <charset val="204"/>
          </rPr>
          <t xml:space="preserve">Сумма ипотечного кредита, которую вам необходимо погасить
</t>
        </r>
      </text>
    </comment>
    <comment ref="M34" authorId="0" shapeId="0" xr:uid="{0A0611DE-82AD-4185-BA15-C4A459EA3DAB}">
      <text>
        <r>
          <rPr>
            <sz val="9"/>
            <color indexed="81"/>
            <rFont val="Tahoma"/>
            <family val="2"/>
            <charset val="204"/>
          </rPr>
          <t xml:space="preserve">Сумма ипотечного кредита, которую вам необходимо погасить
</t>
        </r>
      </text>
    </comment>
    <comment ref="N34" authorId="0" shapeId="0" xr:uid="{427B28EA-B25B-442D-AC37-E4DD463E0A2C}">
      <text>
        <r>
          <rPr>
            <sz val="9"/>
            <color indexed="81"/>
            <rFont val="Tahoma"/>
            <family val="2"/>
            <charset val="204"/>
          </rPr>
          <t xml:space="preserve">Сумма ипотечного кредита, которую вам необходимо погасить
</t>
        </r>
      </text>
    </comment>
    <comment ref="K35" authorId="0" shapeId="0" xr:uid="{C9E9BF7B-C2B0-4343-B15C-0548401ADF64}">
      <text>
        <r>
          <rPr>
            <sz val="9"/>
            <color indexed="81"/>
            <rFont val="Tahoma"/>
            <family val="2"/>
            <charset val="204"/>
          </rPr>
          <t>Процентная ставка по ипотечному кредиту для вас.
*В случае если у вас есть какие-либо льготы, уменьшающие ставку, учтите их здесь. Например ваш работодатель дополнительно субсидирует ипотеку из-за чего ставка для вас вместо 20% становиться равной 2%.
**Если вы в будущем планируете рефинансировать кредит, необходимо указывать долгосрочную ставку %.</t>
        </r>
      </text>
    </comment>
    <comment ref="L35" authorId="0" shapeId="0" xr:uid="{4CA76B17-C3B4-43D2-A6CC-B285F953DB2E}">
      <text>
        <r>
          <rPr>
            <sz val="9"/>
            <color indexed="81"/>
            <rFont val="Tahoma"/>
            <family val="2"/>
            <charset val="204"/>
          </rPr>
          <t>Процентная ставка по ипотечному кредиту для вас.
*В случае если у вас есть какие-либо льготы, уменьшающие ставку, учтите их здесь. Например ваш работодатель дополнительно субсидирует ипотеку из-за чего ставка для вас вместо 20% становиться равной 2%.
**Если вы в будущем планируете рефинансировать кредит, необходимо указывать долгосрочную ставку %.</t>
        </r>
      </text>
    </comment>
    <comment ref="M35" authorId="0" shapeId="0" xr:uid="{0A0F370D-448A-4CC3-9522-F10A2828DD40}">
      <text>
        <r>
          <rPr>
            <sz val="9"/>
            <color indexed="81"/>
            <rFont val="Tahoma"/>
            <family val="2"/>
            <charset val="204"/>
          </rPr>
          <t>Процентная ставка по ипотечному кредиту для вас.
*В случае если у вас есть какие-либо льготы, уменьшающие ставку, учтите их здесь. Например ваш работодатель дополнительно субсидирует ипотеку из-за чего ставка для вас вместо 20% становиться равной 2%.
**Если вы в будущем планируете рефинансировать кредит, необходимо указывать долгосрочную ставку %.</t>
        </r>
      </text>
    </comment>
    <comment ref="N35" authorId="0" shapeId="0" xr:uid="{7DD84EE1-E327-48F0-B0D5-B530FA12D248}">
      <text>
        <r>
          <rPr>
            <sz val="9"/>
            <color indexed="81"/>
            <rFont val="Tahoma"/>
            <family val="2"/>
            <charset val="204"/>
          </rPr>
          <t>Процентная ставка по ипотечному кредиту для вас.
*В случае если у вас есть какие-либо льготы, уменьшающие ставку, учтите их здесь. Например ваш работодатель дополнительно субсидирует ипотеку из-за чего ставка для вас вместо 20% становиться равной 2%.
**Если вы в будущем планируете рефинансировать кредит, необходимо указывать долгосрочную ставку %.</t>
        </r>
      </text>
    </comment>
    <comment ref="D36" authorId="0" shapeId="0" xr:uid="{A3AEE8F0-B9A1-4EB3-95B2-C788FB778695}">
      <text>
        <r>
          <rPr>
            <sz val="9"/>
            <color indexed="81"/>
            <rFont val="Tahoma"/>
            <family val="2"/>
            <charset val="204"/>
          </rPr>
          <t>Планируются ли налоговые вычеты?
*Если вы покупаете квартиру не в России или у вас нет права на вычет, то необходимо указать "Нет".</t>
        </r>
      </text>
    </comment>
    <comment ref="K36" authorId="0" shapeId="0" xr:uid="{C9FBD595-04DE-4577-A65F-217B8482C1B1}">
      <text>
        <r>
          <rPr>
            <sz val="9"/>
            <color indexed="81"/>
            <rFont val="Tahoma"/>
            <family val="2"/>
            <charset val="204"/>
          </rPr>
          <t>Период ипотеки. Должен быть меньше или равен периоду моделирования.</t>
        </r>
      </text>
    </comment>
    <comment ref="L36" authorId="0" shapeId="0" xr:uid="{278EBD82-BE01-4ED7-BD0B-725A8AE2A48E}">
      <text>
        <r>
          <rPr>
            <sz val="9"/>
            <color indexed="81"/>
            <rFont val="Tahoma"/>
            <family val="2"/>
            <charset val="204"/>
          </rPr>
          <t>Период ипотеки. Должен быть меньше или равен периоду моделирования.</t>
        </r>
      </text>
    </comment>
    <comment ref="M36" authorId="0" shapeId="0" xr:uid="{C86B5A76-22BB-4181-A566-B4D651E2C46E}">
      <text>
        <r>
          <rPr>
            <sz val="9"/>
            <color indexed="81"/>
            <rFont val="Tahoma"/>
            <family val="2"/>
            <charset val="204"/>
          </rPr>
          <t>Период ипотеки. Должен быть меньше или равен периоду моделирования.</t>
        </r>
      </text>
    </comment>
    <comment ref="N36" authorId="0" shapeId="0" xr:uid="{C0EA9007-03F5-4956-B38E-7FBE5F2B8D99}">
      <text>
        <r>
          <rPr>
            <sz val="9"/>
            <color indexed="81"/>
            <rFont val="Tahoma"/>
            <family val="2"/>
            <charset val="204"/>
          </rPr>
          <t>Период ипотеки. Должен быть меньше или равен периоду моделирования.</t>
        </r>
      </text>
    </comment>
    <comment ref="D37" authorId="0" shapeId="0" xr:uid="{90B7A3B2-EA61-4126-9ABE-6AEAF361BA62}">
      <text>
        <r>
          <rPr>
            <sz val="9"/>
            <color indexed="81"/>
            <rFont val="Tahoma"/>
            <family val="2"/>
            <charset val="204"/>
          </rPr>
          <t>Ваша ставка НДФЛ
Зависить от уровня ваших годовых доходов:
13% — для доходов до 2,4 млн рублей в год.
15% — для части дохода от 2,4 млн до 5 млн рублей.
18% — для части дохода от 5 млн рублей до 20 млн рублей.
20% — для части дохода от 20 млн до 50 млн рублей.
22% — для части дохода от 50 млн рублей.
(на 2026 год)</t>
        </r>
      </text>
    </comment>
    <comment ref="K37" authorId="0" shapeId="0" xr:uid="{E6AF343B-F1BA-4F8C-8105-1E5B89BE42BA}">
      <text>
        <r>
          <rPr>
            <sz val="9"/>
            <color indexed="81"/>
            <rFont val="Tahoma"/>
            <family val="2"/>
            <charset val="204"/>
          </rPr>
          <t>Ежемесячный платёж по ипотеке, который вы должны быть в состоянии платить.</t>
        </r>
      </text>
    </comment>
    <comment ref="L37" authorId="0" shapeId="0" xr:uid="{68B14368-ED11-475F-BE3B-A1EC5BF04E54}">
      <text>
        <r>
          <rPr>
            <sz val="9"/>
            <color indexed="81"/>
            <rFont val="Tahoma"/>
            <family val="2"/>
            <charset val="204"/>
          </rPr>
          <t>Ежемесячный платёж по ипотеке, который вы должны быть в состоянии платить.</t>
        </r>
      </text>
    </comment>
    <comment ref="M37" authorId="0" shapeId="0" xr:uid="{2B496764-69D9-4DD3-9109-8E6106D4497D}">
      <text>
        <r>
          <rPr>
            <sz val="9"/>
            <color indexed="81"/>
            <rFont val="Tahoma"/>
            <family val="2"/>
            <charset val="204"/>
          </rPr>
          <t>Ежемесячный платёж по ипотеке, который вы должны быть в состоянии платить.</t>
        </r>
      </text>
    </comment>
    <comment ref="N37" authorId="0" shapeId="0" xr:uid="{1783156E-C35F-4F76-9AB1-8AF385E01568}">
      <text>
        <r>
          <rPr>
            <sz val="9"/>
            <color indexed="81"/>
            <rFont val="Tahoma"/>
            <family val="2"/>
            <charset val="204"/>
          </rPr>
          <t>Ежемесячный платёж по ипотеке, который вы должны быть в состоянии платить.</t>
        </r>
      </text>
    </comment>
    <comment ref="D38" authorId="0" shapeId="0" xr:uid="{4BA2848D-C93F-4C0B-AA3E-437C9334A4BC}">
      <text>
        <r>
          <rPr>
            <sz val="9"/>
            <color indexed="81"/>
            <rFont val="Tahoma"/>
            <family val="2"/>
            <charset val="204"/>
          </rPr>
          <t>Фактическая сумма которую вы получите в случае вычета за покупку жилья.
(на 2026 год)</t>
        </r>
      </text>
    </comment>
    <comment ref="D39" authorId="0" shapeId="0" xr:uid="{4AD00E8E-AB1C-4416-869B-AFE80520D836}">
      <text>
        <r>
          <rPr>
            <sz val="9"/>
            <color indexed="81"/>
            <rFont val="Tahoma"/>
            <family val="2"/>
            <charset val="204"/>
          </rPr>
          <t>Фактическая сумма вычета, которую вы получите за уплату % по ипотечному кредиту.
*В случае если вы покупаете квартиру без использования кредита, то ваш налоговый вычет за % будет равен 0.
(на 2026 год)</t>
        </r>
      </text>
    </comment>
    <comment ref="K39" authorId="0" shapeId="0" xr:uid="{B30D2739-FD54-4D42-A2E2-0AFF0EFF482C}">
      <text>
        <r>
          <rPr>
            <sz val="9"/>
            <color indexed="81"/>
            <rFont val="Tahoma"/>
            <family val="2"/>
            <charset val="204"/>
          </rPr>
          <t xml:space="preserve">Планируется ли страховать квартиру?
*В случае если страховка уже учтена в процентной ставке по ипотеке, то необходимо указать "Нет".
**Если страховка не учтена в процентной ставке по ипотеке, но банк требует её оформить, то необходимо указать "Да" и ввести параметры страховки ниже.
</t>
        </r>
      </text>
    </comment>
    <comment ref="L39" authorId="0" shapeId="0" xr:uid="{00C20C81-D86C-4856-B89B-071703E56615}">
      <text>
        <r>
          <rPr>
            <sz val="9"/>
            <color indexed="81"/>
            <rFont val="Tahoma"/>
            <family val="2"/>
            <charset val="204"/>
          </rPr>
          <t xml:space="preserve">Планируется ли страховать квартиру?
*В случае если страховка уже учтена в процентной ставке по ипотеке, то необходимо указать "Нет".
**Если страховка не учтена в процентной ставке по ипотеке, но банк требует её оформить, то необходимо указать "Да" и ввести параметры страховки ниже.
</t>
        </r>
      </text>
    </comment>
    <comment ref="M39" authorId="0" shapeId="0" xr:uid="{E284660E-EDEB-4BDF-99D8-0B88AD0C9AC7}">
      <text>
        <r>
          <rPr>
            <sz val="9"/>
            <color indexed="81"/>
            <rFont val="Tahoma"/>
            <family val="2"/>
            <charset val="204"/>
          </rPr>
          <t xml:space="preserve">Планируется ли страховать квартиру?
*В случае если страховка уже учтена в процентной ставке по ипотеке, то необходимо указать "Нет".
**Если страховка не учтена в процентной ставке по ипотеке, но банк требует её оформить, то необходимо указать "Да" и ввести параметры страховки ниже.
</t>
        </r>
      </text>
    </comment>
    <comment ref="N39" authorId="0" shapeId="0" xr:uid="{110E6D1F-C98F-471B-9910-0C68862FC977}">
      <text>
        <r>
          <rPr>
            <sz val="9"/>
            <color indexed="81"/>
            <rFont val="Tahoma"/>
            <family val="2"/>
            <charset val="204"/>
          </rPr>
          <t xml:space="preserve">Планируется ли страховать квартиру?
*В случае если страховка уже учтена в процентной ставке по ипотеке, то необходимо указать "Нет".
**Если страховка не учтена в процентной ставке по ипотеке, но банк требует её оформить, то необходимо указать "Да" и ввести параметры страховки ниже.
</t>
        </r>
      </text>
    </comment>
    <comment ref="K40" authorId="0" shapeId="0" xr:uid="{2FFCCD95-78BE-4725-90AA-4CCF6C8590BA}">
      <text>
        <r>
          <rPr>
            <sz val="9"/>
            <color indexed="81"/>
            <rFont val="Tahoma"/>
            <family val="2"/>
            <charset val="204"/>
          </rPr>
          <t>Как будет рассчитываться стоимость страховки?
"Да" - В процентах от рыночной цены квартиры.
"Нет" - Как фиксированная сумма, которая будет увеличиваться каждый год на определённый процент (например, на уровень инфляции).</t>
        </r>
      </text>
    </comment>
    <comment ref="L40" authorId="0" shapeId="0" xr:uid="{00B8234E-B88A-4112-967B-1DFE91B33870}">
      <text>
        <r>
          <rPr>
            <sz val="9"/>
            <color indexed="81"/>
            <rFont val="Tahoma"/>
            <family val="2"/>
            <charset val="204"/>
          </rPr>
          <t>Как будет рассчитываться стоимость страховки?
"Да" - В процентах от рыночной цены квартиры.
"Нет" - Как фиксированная сумма, которая будет увеличиваться каждый год на определённый процент (например, на уровень инфляции).</t>
        </r>
      </text>
    </comment>
    <comment ref="M40" authorId="0" shapeId="0" xr:uid="{FF6A1CD8-828F-472E-A3F6-98F199FEA75A}">
      <text>
        <r>
          <rPr>
            <sz val="9"/>
            <color indexed="81"/>
            <rFont val="Tahoma"/>
            <family val="2"/>
            <charset val="204"/>
          </rPr>
          <t>Как будет рассчитываться стоимость страховки?
"Да" - В процентах от рыночной цены квартиры.
"Нет" - Как фиксированная сумма, которая будет увеличиваться каждый год на определённый процент (например, на уровень инфляции).</t>
        </r>
      </text>
    </comment>
    <comment ref="N40" authorId="0" shapeId="0" xr:uid="{1A114B27-83B5-4594-A674-9B1147A3A3A5}">
      <text>
        <r>
          <rPr>
            <sz val="9"/>
            <color indexed="81"/>
            <rFont val="Tahoma"/>
            <family val="2"/>
            <charset val="204"/>
          </rPr>
          <t>Как будет рассчитываться стоимость страховки?
"Да" - В процентах от рыночной цены квартиры.
"Нет" - Как фиксированная сумма, которая будет увеличиваться каждый год на определённый процент (например, на уровень инфляции).</t>
        </r>
      </text>
    </comment>
    <comment ref="K41" authorId="0" shapeId="0" xr:uid="{4DA5399F-0B92-4004-ACC4-2F727DDA5256}">
      <text>
        <r>
          <rPr>
            <sz val="9"/>
            <color indexed="81"/>
            <rFont val="Tahoma"/>
            <family val="2"/>
            <charset val="204"/>
          </rPr>
          <t>Расходы в процентах от рыночной цены квартиры.
P.S. По мере увеличения рыночной стоимости объекта недвижимости они будут расти.</t>
        </r>
      </text>
    </comment>
    <comment ref="L41" authorId="0" shapeId="0" xr:uid="{438C66B6-5B5E-443C-A8D9-68BF6209C4C3}">
      <text>
        <r>
          <rPr>
            <sz val="9"/>
            <color indexed="81"/>
            <rFont val="Tahoma"/>
            <family val="2"/>
            <charset val="204"/>
          </rPr>
          <t>Расходы в процентах от рыночной цены квартиры.
P.S. По мере увеличения рыночной стоимости объекта недвижимости они будут расти.</t>
        </r>
      </text>
    </comment>
    <comment ref="M41" authorId="0" shapeId="0" xr:uid="{5C7544BD-A0A0-4897-8CD5-BD59EE969F4B}">
      <text>
        <r>
          <rPr>
            <sz val="9"/>
            <color indexed="81"/>
            <rFont val="Tahoma"/>
            <family val="2"/>
            <charset val="204"/>
          </rPr>
          <t>Расходы в процентах от рыночной цены квартиры.
P.S. По мере увеличения рыночной стоимости объекта недвижимости они будут расти.</t>
        </r>
      </text>
    </comment>
    <comment ref="N41" authorId="0" shapeId="0" xr:uid="{A3DF43E4-4949-4D49-88E7-5BB9D09AF9E2}">
      <text>
        <r>
          <rPr>
            <sz val="9"/>
            <color indexed="81"/>
            <rFont val="Tahoma"/>
            <family val="2"/>
            <charset val="204"/>
          </rPr>
          <t>Расходы в процентах от рыночной цены квартиры.
P.S. По мере увеличения рыночной стоимости объекта недвижимости они будут расти.</t>
        </r>
      </text>
    </comment>
    <comment ref="D42" authorId="0" shapeId="0" xr:uid="{07A1C625-64AE-45BF-BFF9-8A210BCD63AE}">
      <text>
        <r>
          <rPr>
            <sz val="9"/>
            <color indexed="81"/>
            <rFont val="Tahoma"/>
            <family val="2"/>
            <charset val="204"/>
          </rPr>
          <t>В случае покупки (не в ипотеку): 
Цена квартиры + Первоначальный ремонт + Трансакционные издержки при покупке - Обязательный залог/депозит при аренде - Трансакционные издержки при аренде
В случае покупки в ипотеку: 
Первоначальный взнос + первоначальный ремонт + Трансакционные издержки - Обязательный залог/депозит при аренде - Трансакционные издержки при аренде
*Если аредовывать квартиру не планируется, то и депозит с трансакционными издержками из свободных денег вычитаться не будут.</t>
        </r>
      </text>
    </comment>
    <comment ref="K42" authorId="0" shapeId="0" xr:uid="{6335B1D4-640F-41E7-8E8C-AF33A6E65B64}">
      <text>
        <r>
          <rPr>
            <sz val="9"/>
            <color indexed="81"/>
            <rFont val="Tahoma"/>
            <family val="2"/>
            <charset val="204"/>
          </rPr>
          <t>Ежегодные расходы на страховку квартиры в рублях.</t>
        </r>
      </text>
    </comment>
    <comment ref="L42" authorId="0" shapeId="0" xr:uid="{6B17789B-0C8F-4F66-BD3E-A96F522B53B5}">
      <text>
        <r>
          <rPr>
            <sz val="9"/>
            <color indexed="81"/>
            <rFont val="Tahoma"/>
            <family val="2"/>
            <charset val="204"/>
          </rPr>
          <t>Ежегодные расходы на страховку квартиры в рублях.</t>
        </r>
      </text>
    </comment>
    <comment ref="M42" authorId="0" shapeId="0" xr:uid="{010252CD-E082-4284-A1FE-758428506C4B}">
      <text>
        <r>
          <rPr>
            <sz val="9"/>
            <color indexed="81"/>
            <rFont val="Tahoma"/>
            <family val="2"/>
            <charset val="204"/>
          </rPr>
          <t>Ежегодные расходы на страховку квартиры в рублях.</t>
        </r>
      </text>
    </comment>
    <comment ref="N42" authorId="0" shapeId="0" xr:uid="{9F0BCA7E-6F33-4573-AABB-416DD7121BD3}">
      <text>
        <r>
          <rPr>
            <sz val="9"/>
            <color indexed="81"/>
            <rFont val="Tahoma"/>
            <family val="2"/>
            <charset val="204"/>
          </rPr>
          <t>Ежегодные расходы на страховку квартиры в рублях.</t>
        </r>
      </text>
    </comment>
    <comment ref="D43" authorId="0" shapeId="0" xr:uid="{BDCE6D91-B560-48B1-8B52-F35511AF5FEB}">
      <text>
        <r>
          <rPr>
            <sz val="9"/>
            <color indexed="81"/>
            <rFont val="Tahoma"/>
            <family val="2"/>
            <charset val="204"/>
          </rPr>
          <t xml:space="preserve">"Да": Арендуем квартиру (Сценарий аренды).
"Нет": Живем "бесплатно", например, у родственников (Сценарий накопления).
</t>
        </r>
      </text>
    </comment>
    <comment ref="K43" authorId="0" shapeId="0" xr:uid="{DF4CD973-6EF8-4A8B-B864-8BC3211DDEF8}">
      <text>
        <r>
          <rPr>
            <sz val="9"/>
            <color indexed="81"/>
            <rFont val="Tahoma"/>
            <family val="2"/>
            <charset val="204"/>
          </rPr>
          <t xml:space="preserve">Ежегодный рост стоимости страховки, по умолчанию темп инфляции.
</t>
        </r>
      </text>
    </comment>
    <comment ref="L43" authorId="0" shapeId="0" xr:uid="{1BB18C38-1CF3-4E97-AB5F-32E06F4F441C}">
      <text>
        <r>
          <rPr>
            <sz val="9"/>
            <color indexed="81"/>
            <rFont val="Tahoma"/>
            <family val="2"/>
            <charset val="204"/>
          </rPr>
          <t xml:space="preserve">Ежегодный рост стоимости страховки, по умолчанию темп инфляции.
</t>
        </r>
      </text>
    </comment>
    <comment ref="M43" authorId="0" shapeId="0" xr:uid="{E726BB64-E891-4AAF-91F3-9483B7FFAE29}">
      <text>
        <r>
          <rPr>
            <sz val="9"/>
            <color indexed="81"/>
            <rFont val="Tahoma"/>
            <family val="2"/>
            <charset val="204"/>
          </rPr>
          <t xml:space="preserve">Ежегодный рост стоимости страховки, по умолчанию темп инфляции.
</t>
        </r>
      </text>
    </comment>
    <comment ref="N43" authorId="0" shapeId="0" xr:uid="{D3BE0983-D07F-40F3-A2AD-365E9396B510}">
      <text>
        <r>
          <rPr>
            <sz val="9"/>
            <color indexed="81"/>
            <rFont val="Tahoma"/>
            <family val="2"/>
            <charset val="204"/>
          </rPr>
          <t xml:space="preserve">Ежегодный рост стоимости страховки, по умолчанию темп инфляции.
</t>
        </r>
      </text>
    </comment>
    <comment ref="D44" authorId="0" shapeId="0" xr:uid="{8D0C3E18-FDCE-4D7C-8E10-A9FE01690908}">
      <text>
        <r>
          <rPr>
            <sz val="9"/>
            <color indexed="81"/>
            <rFont val="Tahoma"/>
            <family val="2"/>
            <charset val="204"/>
          </rPr>
          <t xml:space="preserve">В случае если планируем снимать квартиру:
Указываем ежемесячную арендную плату.
*Лучше всего будет указать арендную плату за квартиру схожего класса, размера и расположения.
В случае если не планируем снимать квартиру:
Указываем сумму каких-либо расходов, которые вы будете нести при сценарии накопления (например увеличенное потребление).
*Можно указать 0, тогда все потенциальные затраты при сценарии покупки квартиры (платёж по ипотеке, ЖКУ, страховка и т.д.) будут откладываться на будущее жильё.
</t>
        </r>
      </text>
    </comment>
    <comment ref="D45" authorId="0" shapeId="0" xr:uid="{83C780DA-03A8-41F3-B1D3-789B8B61BBB4}">
      <text>
        <r>
          <rPr>
            <sz val="9"/>
            <color indexed="81"/>
            <rFont val="Tahoma"/>
            <family val="2"/>
            <charset val="204"/>
          </rPr>
          <t>Сколько составляет арендная плата за 1-ый год от первоначальной цены квартиры в %.</t>
        </r>
      </text>
    </comment>
    <comment ref="K45" authorId="0" shapeId="0" xr:uid="{6D024DF8-E94F-47E6-A67C-37A46FD47473}">
      <text>
        <r>
          <rPr>
            <sz val="9"/>
            <color indexed="81"/>
            <rFont val="Tahoma"/>
            <family val="2"/>
            <charset val="204"/>
          </rPr>
          <t>Ставка налога на имущество зависит от региона покупки квартиры, её стоимости и квадрометража.
Необходимо определить ставку самостоятельно.
*Если определить точно не представляется возможным, то указывайте завышенное значение.
**В России налог считается от кадастровой стоимости, которая определяется специальной бюджетной организацией раз в 2-4 года. Из-за чего налог сложно прогнозировать, поэтому рекомендуется указывать приблизительное значение и оценивать его на адекватность.</t>
        </r>
      </text>
    </comment>
    <comment ref="L45" authorId="0" shapeId="0" xr:uid="{33F9F8D2-9485-4B20-9AA4-E91C72D3EBA8}">
      <text>
        <r>
          <rPr>
            <sz val="9"/>
            <color indexed="81"/>
            <rFont val="Tahoma"/>
            <family val="2"/>
            <charset val="204"/>
          </rPr>
          <t>Ставка налога на имущество зависит от региона покупки квартиры, её стоимости и квадрометража.
Необходимо определить ставку самостоятельно.
*Если определить точно не представляется возможным, то указывайте завышенное значение.
**В России налог считается от кадастровой стоимости, которая определяется специальной бюджетной организацией раз в 2-4 года. Из-за чего налог сложно прогнозировать, поэтому рекомендуется указывать приблизительное значение и оценивать его на адекватность.</t>
        </r>
      </text>
    </comment>
    <comment ref="M45" authorId="0" shapeId="0" xr:uid="{A352B1F8-E645-490E-85A6-AE94E72715A4}">
      <text>
        <r>
          <rPr>
            <sz val="9"/>
            <color indexed="81"/>
            <rFont val="Tahoma"/>
            <family val="2"/>
            <charset val="204"/>
          </rPr>
          <t>Ставка налога на имущество зависит от региона покупки квартиры, её стоимости и квадрометража.
Необходимо определить ставку самостоятельно.
*Если определить точно не представляется возможным, то указывайте завышенное значение.
**В России налог считается от кадастровой стоимости, которая определяется специальной бюджетной организацией раз в 2-4 года. Из-за чего налог сложно прогнозировать, поэтому рекомендуется указывать приблизительное значение и оценивать его на адекватность.</t>
        </r>
      </text>
    </comment>
    <comment ref="N45" authorId="0" shapeId="0" xr:uid="{8AA6B3A0-F9F6-4AEE-B548-9D11D65F4249}">
      <text>
        <r>
          <rPr>
            <sz val="9"/>
            <color indexed="81"/>
            <rFont val="Tahoma"/>
            <family val="2"/>
            <charset val="204"/>
          </rPr>
          <t>Ставка налога на имущество зависит от региона покупки квартиры, её стоимости и квадрометража.
Необходимо определить ставку самостоятельно.
*Если определить точно не представляется возможным, то указывайте завышенное значение.
**В России налог считается от кадастровой стоимости, которая определяется специальной бюджетной организацией раз в 2-4 года. Из-за чего налог сложно прогнозировать, поэтому рекомендуется указывать приблизительное значение и оценивать его на адекватность.</t>
        </r>
      </text>
    </comment>
    <comment ref="D46" authorId="0" shapeId="0" xr:uid="{21978590-7EB5-4B24-856B-3A9B128A40D6}">
      <text>
        <r>
          <rPr>
            <sz val="9"/>
            <color indexed="81"/>
            <rFont val="Tahoma"/>
            <family val="2"/>
            <charset val="204"/>
          </rPr>
          <t>Расходы по ЖКУ в месяц.
P.S. Если в арендную плату включены расходы по ЖКУ, то тут можно либо поставить 0, либо уменьшить арендную плату на предполагаемые расходы по ЖКУ и указать их здесь.
P.S. 2. Если есть другие ежемесячные расходы можно их учесть здесь.</t>
        </r>
      </text>
    </comment>
    <comment ref="K46" authorId="0" shapeId="0" xr:uid="{47A07471-6BBB-45A4-988A-8406F4A9FA37}">
      <text>
        <r>
          <rPr>
            <sz val="9"/>
            <color indexed="81"/>
            <rFont val="Tahoma"/>
            <family val="2"/>
            <charset val="204"/>
          </rPr>
          <t>Платёж по налогу на имущество для 1-го года.
*Указан для того, чтобы вам было проще понять адекватность уплачиваемого налога.</t>
        </r>
      </text>
    </comment>
    <comment ref="L46" authorId="0" shapeId="0" xr:uid="{FCA09F00-2F53-49AE-9F22-FAE2E5ACF070}">
      <text>
        <r>
          <rPr>
            <sz val="9"/>
            <color indexed="81"/>
            <rFont val="Tahoma"/>
            <family val="2"/>
            <charset val="204"/>
          </rPr>
          <t>Платёж по налогу на имущество для 1-го года.
*Указан для того, чтобы вам было проще понять адекватность уплачиваемого налога.</t>
        </r>
      </text>
    </comment>
    <comment ref="M46" authorId="0" shapeId="0" xr:uid="{7292B52A-9796-460A-A665-E409F8C06829}">
      <text>
        <r>
          <rPr>
            <sz val="9"/>
            <color indexed="81"/>
            <rFont val="Tahoma"/>
            <family val="2"/>
            <charset val="204"/>
          </rPr>
          <t>Платёж по налогу на имущество для 1-го года.
*Указан для того, чтобы вам было проще понять адекватность уплачиваемого налога.</t>
        </r>
      </text>
    </comment>
    <comment ref="N46" authorId="0" shapeId="0" xr:uid="{0A8D2ACC-2390-41E2-8C33-177D291885A3}">
      <text>
        <r>
          <rPr>
            <sz val="9"/>
            <color indexed="81"/>
            <rFont val="Tahoma"/>
            <family val="2"/>
            <charset val="204"/>
          </rPr>
          <t>Платёж по налогу на имущество для 1-го года.
*Указан для того, чтобы вам было проще понять адекватность уплачиваемого налога.</t>
        </r>
      </text>
    </comment>
    <comment ref="D47" authorId="0" shapeId="0" xr:uid="{8CE9A1B9-52D3-41A4-B499-4251E0697C63}">
      <text>
        <r>
          <rPr>
            <sz val="9"/>
            <color indexed="81"/>
            <rFont val="Tahoma"/>
            <family val="2"/>
            <charset val="204"/>
          </rPr>
          <t>Сумма арендной платы и расходов по ЖКУ в месяц.</t>
        </r>
      </text>
    </comment>
    <comment ref="K48" authorId="0" shapeId="0" xr:uid="{543A977D-C0CA-412B-85EE-061B0587179C}">
      <text>
        <r>
          <rPr>
            <sz val="9"/>
            <color indexed="81"/>
            <rFont val="Tahoma"/>
            <family val="2"/>
            <charset val="204"/>
          </rPr>
          <t>Расходы на воду (холодную и горячую), газ, электричество, вынос мусора, отопление, канализацию. 
*Пример: Если вы в летний период (на протяжении 6 мес.) платите 5000р за ЖКУ, а в зимний период (также 6 мес.) платите 10000р, то в ячейку необходимо указывать средневзвешенную величину, которая для данного случая равна 7500р в мес.
**Если вы планируете сдавать купленную квартиру в аренду и уже это учли при вводе роста стоимости, то рекомендуется указать в этом пункте значение 0, так как российская практика предполагает перекладывание расходов по ЖКУ на арендатора. Таким образом для вас, как для арендодателя, они будут равны 0.</t>
        </r>
      </text>
    </comment>
    <comment ref="L48" authorId="0" shapeId="0" xr:uid="{68A9BD17-E829-45EF-BB31-E495BB3D7309}">
      <text>
        <r>
          <rPr>
            <sz val="9"/>
            <color indexed="81"/>
            <rFont val="Tahoma"/>
            <family val="2"/>
            <charset val="204"/>
          </rPr>
          <t>Расходы на воду (холодную и горячую), газ, электричество, вынос мусора, отопление, канализацию. 
*Пример: Если вы в летний период (на протяжении 6 мес.) платите 5000р за ЖКУ, а в зимний период (также 6 мес.) платите 10000р, то в ячейку необходимо указывать средневзвешенную величину, которая для данного случая равна 7500р в мес.
**Если вы планируете сдавать купленную квартиру в аренду и уже это учли при вводе роста стоимости, то рекомендуется указать в этом пункте значение 0, так как российская практика предполагает перекладывание расходов по ЖКУ на арендатора. Таким образом для вас, как для арендодателя, они будут равны 0.</t>
        </r>
      </text>
    </comment>
    <comment ref="M48" authorId="0" shapeId="0" xr:uid="{3E2DC3F6-E4D5-403C-AEA7-28ADA66EE7A7}">
      <text>
        <r>
          <rPr>
            <sz val="9"/>
            <color indexed="81"/>
            <rFont val="Tahoma"/>
            <family val="2"/>
            <charset val="204"/>
          </rPr>
          <t>Расходы на воду (холодную и горячую), газ, электричество, вынос мусора, отопление, канализацию. 
*Пример: Если вы в летний период (на протяжении 6 мес.) платите 5000р за ЖКУ, а в зимний период (также 6 мес.) платите 10000р, то в ячейку необходимо указывать средневзвешенную величину, которая для данного случая равна 7500р в мес.
**Если вы планируете сдавать купленную квартиру в аренду и уже это учли при вводе роста стоимости, то рекомендуется указать в этом пункте значение 0, так как российская практика предполагает перекладывание расходов по ЖКУ на арендатора. Таким образом для вас, как для арендодателя, они будут равны 0.</t>
        </r>
      </text>
    </comment>
    <comment ref="N48" authorId="0" shapeId="0" xr:uid="{8C3CDB31-7C93-49E3-903C-CF701DC24AE1}">
      <text>
        <r>
          <rPr>
            <sz val="9"/>
            <color indexed="81"/>
            <rFont val="Tahoma"/>
            <family val="2"/>
            <charset val="204"/>
          </rPr>
          <t>Расходы на воду (холодную и горячую), газ, электричество, вынос мусора, отопление, канализацию. 
*Пример: Если вы в летний период (на протяжении 6 мес.) платите 5000р за ЖКУ, а в зимний период (также 6 мес.) платите 10000р, то в ячейку необходимо указывать средневзвешенную величину, которая для данного случая равна 7500р в мес.
**Если вы планируете сдавать купленную квартиру в аренду и уже это учли при вводе роста стоимости, то рекомендуется указать в этом пункте значение 0, так как российская практика предполагает перекладывание расходов по ЖКУ на арендатора. Таким образом для вас, как для арендодателя, они будут равны 0.</t>
        </r>
      </text>
    </comment>
    <comment ref="D49" authorId="0" shapeId="0" xr:uid="{F2DF4E89-B9F1-4F07-A019-CA8AE746267C}">
      <text>
        <r>
          <rPr>
            <sz val="9"/>
            <color indexed="81"/>
            <rFont val="Tahoma"/>
            <family val="2"/>
            <charset val="204"/>
          </rPr>
          <t>Необходим ли залог/депозит для арендодателя.</t>
        </r>
      </text>
    </comment>
    <comment ref="K49" authorId="0" shapeId="0" xr:uid="{1EAE0E28-3BF9-4F02-BAA5-CA9BD51984BE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капитальный ремонт общих помещений и прилегающей территории, комуникаций и так далее.
В случае если дом новый указываем 0.
</t>
        </r>
      </text>
    </comment>
    <comment ref="L49" authorId="0" shapeId="0" xr:uid="{4E850277-17B9-4B1D-81C6-F51417DDE7A8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капитальный ремонт общих помещений и прилегающей территории, комуникаций и так далее.
В случае если дом новый указываем 0.
</t>
        </r>
      </text>
    </comment>
    <comment ref="M49" authorId="0" shapeId="0" xr:uid="{81CE5C88-9043-43F7-AECB-DD5F43728FC6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капитальный ремонт общих помещений и прилегающей территории, комуникаций и так далее.
В случае если дом новый указываем 0.
</t>
        </r>
      </text>
    </comment>
    <comment ref="N49" authorId="0" shapeId="0" xr:uid="{5F6BC1DC-7D19-4577-AD57-49776A723384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капитальный ремонт общих помещений и прилегающей территории, комуникаций и так далее.
В случае если дом новый указываем 0.
</t>
        </r>
      </text>
    </comment>
    <comment ref="D50" authorId="0" shapeId="0" xr:uid="{938EBC8F-C750-47FF-A6A6-6F1BC266FE13}">
      <text>
        <r>
          <rPr>
            <sz val="9"/>
            <color indexed="81"/>
            <rFont val="Tahoma"/>
            <family val="2"/>
            <charset val="204"/>
          </rPr>
          <t>Какую часть арендной платы необходимо дополнительно ("Сверху") оставить арендодателю в качестве страхового депозита.
*Обычно депозит не превышает 100% от месячной арендной платы.
P.S. Эта сумма должна вернуться вам при выезде.</t>
        </r>
      </text>
    </comment>
    <comment ref="K50" authorId="0" shapeId="0" xr:uid="{76ACF876-9973-46E0-9742-6592E5BCB47C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обслуживание шлагбаума, домофона, консьержа и др.
</t>
        </r>
      </text>
    </comment>
    <comment ref="L50" authorId="0" shapeId="0" xr:uid="{7DFCC0A5-F337-4ABA-B7D7-FA1BD56B8F32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обслуживание шлагбаума, домофона, консьержа и др.
</t>
        </r>
      </text>
    </comment>
    <comment ref="M50" authorId="0" shapeId="0" xr:uid="{073F4D0E-74DC-43ED-8787-EDC3436013E8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обслуживание шлагбаума, домофона, консьержа и др.
</t>
        </r>
      </text>
    </comment>
    <comment ref="N50" authorId="0" shapeId="0" xr:uid="{7B888CAF-D895-4F9E-9F23-2E69599AD0C7}">
      <text>
        <r>
          <rPr>
            <sz val="9"/>
            <color indexed="81"/>
            <rFont val="Tahoma"/>
            <family val="2"/>
            <charset val="204"/>
          </rPr>
          <t xml:space="preserve">Ежемесячные расходы на обслуживание шлагбаума, домофона, консьержа и др.
</t>
        </r>
      </text>
    </comment>
    <comment ref="D51" authorId="0" shapeId="0" xr:uid="{AAF3579F-CC9B-4B25-8611-6CC1D21C893B}">
      <text>
        <r>
          <rPr>
            <sz val="9"/>
            <color indexed="81"/>
            <rFont val="Tahoma"/>
            <family val="2"/>
            <charset val="204"/>
          </rPr>
          <t>Сопутствующие аренде квартиры издержки, например комиссия риелтора.
*Можно учесть прочие расходы, например расходы на переезд с прошлого места жительства.</t>
        </r>
      </text>
    </comment>
    <comment ref="K51" authorId="0" shapeId="0" xr:uid="{A50EBCBE-6D98-4063-88DB-77FE6A6A15EB}">
      <text>
        <r>
          <rPr>
            <sz val="9"/>
            <color indexed="81"/>
            <rFont val="Tahoma"/>
            <family val="2"/>
            <charset val="204"/>
          </rPr>
          <t xml:space="preserve">Сумма расходов по ЖКУ, кап. ремонту и прочих. 
</t>
        </r>
      </text>
    </comment>
    <comment ref="L51" authorId="0" shapeId="0" xr:uid="{2BF89FA1-A9E5-4E7D-97BF-2D2F5A18CAFE}">
      <text>
        <r>
          <rPr>
            <sz val="9"/>
            <color indexed="81"/>
            <rFont val="Tahoma"/>
            <family val="2"/>
            <charset val="204"/>
          </rPr>
          <t xml:space="preserve">Сумма расходов по ЖКУ, кап. ремонту и прочих. 
</t>
        </r>
      </text>
    </comment>
    <comment ref="M51" authorId="0" shapeId="0" xr:uid="{EC6D382D-24C0-4711-A846-B342EB2C434B}">
      <text>
        <r>
          <rPr>
            <sz val="9"/>
            <color indexed="81"/>
            <rFont val="Tahoma"/>
            <family val="2"/>
            <charset val="204"/>
          </rPr>
          <t xml:space="preserve">Сумма расходов по ЖКУ, кап. ремонту и прочих. 
</t>
        </r>
      </text>
    </comment>
    <comment ref="N51" authorId="0" shapeId="0" xr:uid="{0DC995D3-A842-4C71-8B56-CB9A4CD7D2C7}">
      <text>
        <r>
          <rPr>
            <sz val="9"/>
            <color indexed="81"/>
            <rFont val="Tahoma"/>
            <family val="2"/>
            <charset val="204"/>
          </rPr>
          <t xml:space="preserve">Сумма расходов по ЖКУ, кап. ремонту и прочих. 
</t>
        </r>
      </text>
    </comment>
    <comment ref="D53" authorId="0" shapeId="0" xr:uid="{2C5D5B7E-F64D-45CE-8C55-15E9B64AD687}">
      <text>
        <r>
          <rPr>
            <sz val="9"/>
            <color indexed="81"/>
            <rFont val="Tahoma"/>
            <family val="2"/>
            <charset val="204"/>
          </rPr>
          <t xml:space="preserve">Рост арендной платы на определённые процент в год: %
ИЛИ
Рост арендной платы на определённую сумму в год: ₽
</t>
        </r>
      </text>
    </comment>
    <comment ref="K53" authorId="0" shapeId="0" xr:uid="{30FB9048-7366-490C-B18E-5CB35F646E10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покупке квартиры расходы. Например на услуги риелтора.
</t>
        </r>
      </text>
    </comment>
    <comment ref="L53" authorId="0" shapeId="0" xr:uid="{60DC45C8-29AB-4FA9-9307-ADE76DD53C97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покупке квартиры расходы. Например на услуги риелтора.
</t>
        </r>
      </text>
    </comment>
    <comment ref="M53" authorId="0" shapeId="0" xr:uid="{41DACD2E-F384-4C7C-B05E-75D6D8CCBF8D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покупке квартиры расходы. Например на услуги риелтора.
</t>
        </r>
      </text>
    </comment>
    <comment ref="N53" authorId="0" shapeId="0" xr:uid="{05299FF4-28F0-4FF3-AC76-D09050A61D5A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покупке квартиры расходы. Например на услуги риелтора.
</t>
        </r>
      </text>
    </comment>
    <comment ref="D54" authorId="0" shapeId="0" xr:uid="{DF59218E-19B9-4399-A3DC-02DD6DD8A8AC}">
      <text>
        <r>
          <rPr>
            <sz val="9"/>
            <color indexed="81"/>
            <rFont val="Tahoma"/>
            <family val="2"/>
            <charset val="204"/>
          </rPr>
          <t>Ежегодный рост арендной платы.
*По умолчанию 6% в год - ежегодный рост арендной платы в России на протяжении последних 20 лет.
**В обычной ситуации должен быть как минимум на уровне инфляции.</t>
        </r>
      </text>
    </comment>
    <comment ref="K54" authorId="0" shapeId="0" xr:uid="{04BCA4A4-6FDE-4E17-A82C-5CB551064438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продаже квартиры расходы. Например на услуги риелтора, а также на скидку, необходимую для сокращения срока реализации квартиры.
Указывается в % от цены квартиры.
По умолчанию можно установить на уровне 3%.
</t>
        </r>
      </text>
    </comment>
    <comment ref="L54" authorId="0" shapeId="0" xr:uid="{D86F09DF-F730-460A-949C-7B98E322DDED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продаже квартиры расходы. Например на услуги риелтора, а также на скидку, необходимую для сокращения срока реализации квартиры.
Указывается в % от цены квартиры.
По умолчанию можно установить на уровне 3%.
</t>
        </r>
      </text>
    </comment>
    <comment ref="M54" authorId="0" shapeId="0" xr:uid="{CA3E02EC-455E-4EB9-B6C6-1A0F62230DF8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продаже квартиры расходы. Например на услуги риелтора, а также на скидку, необходимую для сокращения срока реализации квартиры.
Указывается в % от цены квартиры.
По умолчанию можно установить на уровне 3%.
</t>
        </r>
      </text>
    </comment>
    <comment ref="N54" authorId="0" shapeId="0" xr:uid="{EDFE66FC-3074-441E-A67A-B98FC0389E60}">
      <text>
        <r>
          <rPr>
            <sz val="9"/>
            <color indexed="81"/>
            <rFont val="Tahoma"/>
            <family val="2"/>
            <charset val="204"/>
          </rPr>
          <t xml:space="preserve">Сопустствующие продаже квартиры расходы. Например на услуги риелтора, а также на скидку, необходимую для сокращения срока реализации квартиры.
Указывается в % от цены квартиры.
По умолчанию можно установить на уровне 3%.
</t>
        </r>
      </text>
    </comment>
    <comment ref="D55" authorId="0" shapeId="0" xr:uid="{7A2B2829-4623-4603-BAC8-B51709931711}">
      <text>
        <r>
          <rPr>
            <sz val="9"/>
            <color indexed="81"/>
            <rFont val="Tahoma"/>
            <family val="2"/>
            <charset val="204"/>
          </rPr>
          <t>На какую сумму увеличивается арендная плата каждый год.
*Вы могли договориться с арендодателем, что сумма будет увеличиваться на определённую величину.</t>
        </r>
      </text>
    </comment>
    <comment ref="K56" authorId="0" shapeId="0" xr:uid="{7093745B-C0B0-41A2-8DC6-A443A85D8819}">
      <text>
        <r>
          <rPr>
            <sz val="9"/>
            <color indexed="81"/>
            <rFont val="Tahoma"/>
            <family val="2"/>
            <charset val="204"/>
          </rPr>
          <t>Планируются ли налоговые вычеты?
*Если вы покупаете квартиру не в России или у вас нет права на вычет, то необходимо указать "Нет".</t>
        </r>
      </text>
    </comment>
    <comment ref="L56" authorId="0" shapeId="0" xr:uid="{11DACF96-B0AF-460A-90A7-A7DC0BD36D14}">
      <text>
        <r>
          <rPr>
            <sz val="9"/>
            <color indexed="81"/>
            <rFont val="Tahoma"/>
            <family val="2"/>
            <charset val="204"/>
          </rPr>
          <t>Планируются ли налоговые вычеты?
*Если вы покупаете квартиру не в России или у вас нет права на вычет, то необходимо указать "Нет".</t>
        </r>
      </text>
    </comment>
    <comment ref="M56" authorId="0" shapeId="0" xr:uid="{8CC6ACCB-6FAF-46B6-AE87-6E7A25D55301}">
      <text>
        <r>
          <rPr>
            <sz val="9"/>
            <color indexed="81"/>
            <rFont val="Tahoma"/>
            <family val="2"/>
            <charset val="204"/>
          </rPr>
          <t>Планируются ли налоговые вычеты?
*Если вы покупаете квартиру не в России или у вас нет права на вычет, то необходимо указать "Нет".</t>
        </r>
      </text>
    </comment>
    <comment ref="N56" authorId="0" shapeId="0" xr:uid="{BC81B7C4-3694-4CE6-98B9-B8B7E6762940}">
      <text>
        <r>
          <rPr>
            <sz val="9"/>
            <color indexed="81"/>
            <rFont val="Tahoma"/>
            <family val="2"/>
            <charset val="204"/>
          </rPr>
          <t>Планируются ли налоговые вычеты?
*Если вы покупаете квартиру не в России или у вас нет права на вычет, то необходимо указать "Нет".</t>
        </r>
      </text>
    </comment>
    <comment ref="K57" authorId="0" shapeId="0" xr:uid="{3D1D7B11-F1B6-49FD-9CD3-651E4DAB9567}">
      <text>
        <r>
          <rPr>
            <sz val="9"/>
            <color indexed="81"/>
            <rFont val="Tahoma"/>
            <family val="2"/>
            <charset val="204"/>
          </rPr>
          <t>Ваша ставка НДФЛ
Зависить от уровня ваших годовых доходов:
13% — для доходов до 2,4 млн рублей в год.
15% — для части дохода от 2,4 млн до 5 млн рублей.
18% — для части дохода от 5 млн рублей до 20 млн рублей.
20% — для части дохода от 20 млн до 50 млн рублей.
22% — для части дохода от 50 млн рублей.
(на 2025 год)</t>
        </r>
      </text>
    </comment>
    <comment ref="L57" authorId="0" shapeId="0" xr:uid="{23E68D39-AE01-44EC-8F73-D63B9C487CC3}">
      <text>
        <r>
          <rPr>
            <sz val="9"/>
            <color indexed="81"/>
            <rFont val="Tahoma"/>
            <family val="2"/>
            <charset val="204"/>
          </rPr>
          <t>Ваша ставка НДФЛ
Зависить от уровня ваших годовых доходов:
13% — для доходов до 2,4 млн рублей в год.
15% — для части дохода от 2,4 млн до 5 млн рублей.
18% — для части дохода от 5 млн рублей до 20 млн рублей.
20% — для части дохода от 20 млн до 50 млн рублей.
22% — для части дохода от 50 млн рублей.
(на 2025 год)</t>
        </r>
      </text>
    </comment>
    <comment ref="M57" authorId="0" shapeId="0" xr:uid="{73C5E323-BA6E-49AB-A762-ABD39DCBDC5C}">
      <text>
        <r>
          <rPr>
            <sz val="9"/>
            <color indexed="81"/>
            <rFont val="Tahoma"/>
            <family val="2"/>
            <charset val="204"/>
          </rPr>
          <t>Ваша ставка НДФЛ
Зависить от уровня ваших годовых доходов:
13% — для доходов до 2,4 млн рублей в год.
15% — для части дохода от 2,4 млн до 5 млн рублей.
18% — для части дохода от 5 млн рублей до 20 млн рублей.
20% — для части дохода от 20 млн до 50 млн рублей.
22% — для части дохода от 50 млн рублей.
(на 2025 год)</t>
        </r>
      </text>
    </comment>
    <comment ref="N57" authorId="0" shapeId="0" xr:uid="{0C58F82E-CE36-427E-9A1F-DAE0FF9FC007}">
      <text>
        <r>
          <rPr>
            <sz val="9"/>
            <color indexed="81"/>
            <rFont val="Tahoma"/>
            <family val="2"/>
            <charset val="204"/>
          </rPr>
          <t>Ваша ставка НДФЛ
Зависить от уровня ваших годовых доходов:
13% — для доходов до 2,4 млн рублей в год.
15% — для части дохода от 2,4 млн до 5 млн рублей.
18% — для части дохода от 5 млн рублей до 20 млн рублей.
20% — для части дохода от 20 млн до 50 млн рублей.
22% — для части дохода от 50 млн рублей.
(на 2025 год)</t>
        </r>
      </text>
    </comment>
    <comment ref="D58" authorId="0" shapeId="0" xr:uid="{DF1B377E-DEBA-4A0C-BB0D-7B589EA63E90}">
      <text>
        <r>
          <rPr>
            <sz val="9"/>
            <color indexed="81"/>
            <rFont val="Tahoma"/>
            <family val="2"/>
            <charset val="204"/>
          </rPr>
          <t>Доходность инвестиций в год после вычета налогов и прочих расходов (напр. комиссии за управление активами).
*Если вы хотите учесть налоговые льготы по ИИС, то вы можете это сделать здесь.</t>
        </r>
      </text>
    </comment>
    <comment ref="K58" authorId="0" shapeId="0" xr:uid="{356784F6-82E9-4597-861A-3C5E634C0380}">
      <text>
        <r>
          <rPr>
            <sz val="9"/>
            <color indexed="81"/>
            <rFont val="Tahoma"/>
            <family val="2"/>
            <charset val="204"/>
          </rPr>
          <t>Фактическая сумма которую вы получите в случае вычета за покупку жилья.
(на 2025 год)</t>
        </r>
      </text>
    </comment>
    <comment ref="L58" authorId="0" shapeId="0" xr:uid="{8F666703-A3B2-4F88-A5B9-C4234CA133BC}">
      <text>
        <r>
          <rPr>
            <sz val="9"/>
            <color indexed="81"/>
            <rFont val="Tahoma"/>
            <family val="2"/>
            <charset val="204"/>
          </rPr>
          <t>Фактическая сумма которую вы получите в случае вычета за покупку жилья.
(на 2025 год)</t>
        </r>
      </text>
    </comment>
    <comment ref="M58" authorId="0" shapeId="0" xr:uid="{6E8662EF-63F1-44F6-97E6-18235B7B2FB0}">
      <text>
        <r>
          <rPr>
            <sz val="9"/>
            <color indexed="81"/>
            <rFont val="Tahoma"/>
            <family val="2"/>
            <charset val="204"/>
          </rPr>
          <t>Фактическая сумма которую вы получите в случае вычета за покупку жилья.
(на 2025 год)</t>
        </r>
      </text>
    </comment>
    <comment ref="N58" authorId="0" shapeId="0" xr:uid="{568790BB-2486-4A0D-A716-DEEC62A69CA0}">
      <text>
        <r>
          <rPr>
            <sz val="9"/>
            <color indexed="81"/>
            <rFont val="Tahoma"/>
            <family val="2"/>
            <charset val="204"/>
          </rPr>
          <t>Фактическая сумма которую вы получите в случае вычета за покупку жилья.
(на 2025 год)</t>
        </r>
      </text>
    </comment>
    <comment ref="D59" authorId="0" shapeId="0" xr:uid="{33B4B495-0576-4635-A760-81BABB06975F}">
      <text>
        <r>
          <rPr>
            <sz val="9"/>
            <color indexed="81"/>
            <rFont val="Tahoma"/>
            <family val="2"/>
            <charset val="204"/>
          </rPr>
          <t>Ожидаемая долгосрочная инфляция.
*По умолчанию 8% в год - среднегодовой темп инфляции в России за последние 20 лет.</t>
        </r>
      </text>
    </comment>
    <comment ref="K59" authorId="0" shapeId="0" xr:uid="{1B1955CA-C212-43F3-A808-C3FEE8B989FD}">
      <text>
        <r>
          <rPr>
            <sz val="9"/>
            <color indexed="81"/>
            <rFont val="Tahoma"/>
            <family val="2"/>
            <charset val="204"/>
          </rPr>
          <t>Фактическая сумма вычета, которую вы получите за уплату % по ипотечному кредиту.
*В случае если вы покупаете квартиру без использования кредита, то ваш налоговый вычет за % будет равен 0.
(на 2025 год)</t>
        </r>
      </text>
    </comment>
    <comment ref="L59" authorId="0" shapeId="0" xr:uid="{09829179-C3D2-4D1A-B48E-7245890B002B}">
      <text>
        <r>
          <rPr>
            <sz val="9"/>
            <color indexed="81"/>
            <rFont val="Tahoma"/>
            <family val="2"/>
            <charset val="204"/>
          </rPr>
          <t>Фактическая сумма вычета, которую вы получите за уплату % по ипотечному кредиту.
*В случае если вы покупаете квартиру без использования кредита, то ваш налоговый вычет за % будет равен 0.
(на 2025 год)</t>
        </r>
      </text>
    </comment>
    <comment ref="M59" authorId="0" shapeId="0" xr:uid="{EA8BE7BF-3710-4FFD-85D4-8F1ABBD0EA33}">
      <text>
        <r>
          <rPr>
            <sz val="9"/>
            <color indexed="81"/>
            <rFont val="Tahoma"/>
            <family val="2"/>
            <charset val="204"/>
          </rPr>
          <t>Фактическая сумма вычета, которую вы получите за уплату % по ипотечному кредиту.
*В случае если вы покупаете квартиру без использования кредита, то ваш налоговый вычет за % будет равен 0.
(на 2025 год)</t>
        </r>
      </text>
    </comment>
    <comment ref="N59" authorId="0" shapeId="0" xr:uid="{C3425ACE-F174-4656-98C4-7250B747AC32}">
      <text>
        <r>
          <rPr>
            <sz val="9"/>
            <color indexed="81"/>
            <rFont val="Tahoma"/>
            <family val="2"/>
            <charset val="204"/>
          </rPr>
          <t>Фактическая сумма вычета, которую вы получите за уплату % по ипотечному кредиту.
*В случае если вы покупаете квартиру без использования кредита, то ваш налоговый вычет за % будет равен 0.
(на 2025 год)</t>
        </r>
      </text>
    </comment>
    <comment ref="K62" authorId="0" shapeId="0" xr:uid="{3FD5A743-2089-4875-A7BF-4FFA5A326025}">
      <text>
        <r>
          <rPr>
            <sz val="9"/>
            <color indexed="81"/>
            <rFont val="Tahoma"/>
            <family val="2"/>
            <charset val="204"/>
          </rPr>
          <t>В случае покупки (не в ипотеку): 
Цена квартиры + Первоначальный ремонт + Трансакционные издержки при покупке - Обязательный залог/депозит при аренде - Трансакционные издержки при аренде
В случае покупки в ипотеку: 
Первоначальный взнос + первоначальный ремонт + Трансакционные издержки - Обязательный залог/депозит при аренде - Трансакционные издержки при аренде
*Если аредовывать квартиру не планируется, то и депозит с трансакционными издержками из свободных денег вычитаться не будут.</t>
        </r>
      </text>
    </comment>
    <comment ref="L62" authorId="0" shapeId="0" xr:uid="{76B706A6-E1C7-4FA5-922E-478B5F5EB78C}">
      <text>
        <r>
          <rPr>
            <sz val="9"/>
            <color indexed="81"/>
            <rFont val="Tahoma"/>
            <family val="2"/>
            <charset val="204"/>
          </rPr>
          <t>В случае покупки (не в ипотеку): 
Цена квартиры + Первоначальный ремонт + Трансакционные издержки при покупке - Обязательный залог/депозит при аренде - Трансакционные издержки при аренде
В случае покупки в ипотеку: 
Первоначальный взнос + первоначальный ремонт + Трансакционные издержки - Обязательный залог/депозит при аренде - Трансакционные издержки при аренде
*Если аредовывать квартиру не планируется, то и депозит с трансакционными издержками из свободных денег вычитаться не будут.</t>
        </r>
      </text>
    </comment>
    <comment ref="M62" authorId="0" shapeId="0" xr:uid="{1D5F8F20-BB09-4AF3-BBCF-4CD1B576D637}">
      <text>
        <r>
          <rPr>
            <sz val="9"/>
            <color indexed="81"/>
            <rFont val="Tahoma"/>
            <family val="2"/>
            <charset val="204"/>
          </rPr>
          <t>В случае покупки (не в ипотеку): 
Цена квартиры + Первоначальный ремонт + Трансакционные издержки при покупке - Обязательный залог/депозит при аренде - Трансакционные издержки при аренде
В случае покупки в ипотеку: 
Первоначальный взнос + первоначальный ремонт + Трансакционные издержки - Обязательный залог/депозит при аренде - Трансакционные издержки при аренде
*Если аредовывать квартиру не планируется, то и депозит с трансакционными издержками из свободных денег вычитаться не будут.</t>
        </r>
      </text>
    </comment>
    <comment ref="N62" authorId="0" shapeId="0" xr:uid="{2E6D8677-BC3A-4898-BA80-4671F8B3C68C}">
      <text>
        <r>
          <rPr>
            <sz val="9"/>
            <color indexed="81"/>
            <rFont val="Tahoma"/>
            <family val="2"/>
            <charset val="204"/>
          </rPr>
          <t>В случае покупки (не в ипотеку): 
Цена квартиры + Первоначальный ремонт + Трансакционные издержки при покупке - Обязательный залог/депозит при аренде - Трансакционные издержки при аренде
В случае покупки в ипотеку: 
Первоначальный взнос + первоначальный ремонт + Трансакционные издержки - Обязательный залог/депозит при аренде - Трансакционные издержки при аренде
*Если аредовывать квартиру не планируется, то и депозит с трансакционными издержками из свободных денег вычитаться не будут.</t>
        </r>
      </text>
    </comment>
    <comment ref="K63" authorId="0" shapeId="0" xr:uid="{F4C9DEE5-1FEB-400C-8138-8DD233F0EC53}">
      <text>
        <r>
          <rPr>
            <sz val="9"/>
            <color indexed="81"/>
            <rFont val="Tahoma"/>
            <family val="2"/>
            <charset val="204"/>
          </rPr>
          <t xml:space="preserve">"Да": Арендуем квартиру (Сценарий аренды).
"Нет": Живем "бесплатно", например, у родственников (Сценарий накопления).
</t>
        </r>
      </text>
    </comment>
    <comment ref="L63" authorId="0" shapeId="0" xr:uid="{21AF4914-1E6A-4C07-9FF3-23C0BA949CE1}">
      <text>
        <r>
          <rPr>
            <sz val="9"/>
            <color indexed="81"/>
            <rFont val="Tahoma"/>
            <family val="2"/>
            <charset val="204"/>
          </rPr>
          <t xml:space="preserve">"Да": Арендуем квартиру (Сценарий аренды).
"Нет": Живем "бесплатно", например, у родственников (Сценарий накопления).
</t>
        </r>
      </text>
    </comment>
    <comment ref="M63" authorId="0" shapeId="0" xr:uid="{E709C972-0572-4525-AA65-7012F1768439}">
      <text>
        <r>
          <rPr>
            <sz val="9"/>
            <color indexed="81"/>
            <rFont val="Tahoma"/>
            <family val="2"/>
            <charset val="204"/>
          </rPr>
          <t xml:space="preserve">"Да": Арендуем квартиру (Сценарий аренды).
"Нет": Живем "бесплатно", например, у родственников (Сценарий накопления).
</t>
        </r>
      </text>
    </comment>
    <comment ref="N63" authorId="0" shapeId="0" xr:uid="{DD13F762-5757-43EE-9371-5F5D20EB8E14}">
      <text>
        <r>
          <rPr>
            <sz val="9"/>
            <color indexed="81"/>
            <rFont val="Tahoma"/>
            <family val="2"/>
            <charset val="204"/>
          </rPr>
          <t xml:space="preserve">"Да": Арендуем квартиру (Сценарий аренды).
"Нет": Живем "бесплатно", например, у родственников (Сценарий накопления).
</t>
        </r>
      </text>
    </comment>
    <comment ref="K64" authorId="0" shapeId="0" xr:uid="{E39250BC-9515-4860-B883-02E950F8087F}">
      <text>
        <r>
          <rPr>
            <sz val="9"/>
            <color indexed="81"/>
            <rFont val="Tahoma"/>
            <family val="2"/>
            <charset val="204"/>
          </rPr>
          <t xml:space="preserve">В случае если планируем снимать квартиру:
Указываем ежемесячную арендную плату.
*Лучше всего будет указать арендную плату за квартиру схожего класса, размера и расположения.
В случае если не планируем снимать квартиру:
Указываем сумму каких-либо расходов, которые вы будете нести при сценарии накопления (например увеличенное потребление).
*Можно указать 0, тогда все потенциальные затраты при сценарии покупки квартиры (платёж по ипотеке, ЖКУ, страховка и т.д.) будут откладываться на будущее жильё.
</t>
        </r>
      </text>
    </comment>
    <comment ref="L64" authorId="0" shapeId="0" xr:uid="{99FEACEF-85A4-4694-8C48-5F2E4CCB16E8}">
      <text>
        <r>
          <rPr>
            <sz val="9"/>
            <color indexed="81"/>
            <rFont val="Tahoma"/>
            <family val="2"/>
            <charset val="204"/>
          </rPr>
          <t xml:space="preserve">В случае если планируем снимать квартиру:
Указываем ежемесячную арендную плату.
*Лучше всего будет указать арендную плату за квартиру схожего класса, размера и расположения.
В случае если не планируем снимать квартиру:
Указываем сумму каких-либо расходов, которые вы будете нести при сценарии накопления (например увеличенное потребление).
*Можно указать 0, тогда все потенциальные затраты при сценарии покупки квартиры (платёж по ипотеке, ЖКУ, страховка и т.д.) будут откладываться на будущее жильё.
</t>
        </r>
      </text>
    </comment>
    <comment ref="M64" authorId="0" shapeId="0" xr:uid="{92E01063-E336-4CF6-9AE4-F3339AFCCDAB}">
      <text>
        <r>
          <rPr>
            <sz val="9"/>
            <color indexed="81"/>
            <rFont val="Tahoma"/>
            <family val="2"/>
            <charset val="204"/>
          </rPr>
          <t xml:space="preserve">В случае если планируем снимать квартиру:
Указываем ежемесячную арендную плату.
*Лучше всего будет указать арендную плату за квартиру схожего класса, размера и расположения.
В случае если не планируем снимать квартиру:
Указываем сумму каких-либо расходов, которые вы будете нести при сценарии накопления (например увеличенное потребление).
*Можно указать 0, тогда все потенциальные затраты при сценарии покупки квартиры (платёж по ипотеке, ЖКУ, страховка и т.д.) будут откладываться на будущее жильё.
</t>
        </r>
      </text>
    </comment>
    <comment ref="N64" authorId="0" shapeId="0" xr:uid="{61CEAD28-34CA-4459-A9CE-71D6042F25BE}">
      <text>
        <r>
          <rPr>
            <sz val="9"/>
            <color indexed="81"/>
            <rFont val="Tahoma"/>
            <family val="2"/>
            <charset val="204"/>
          </rPr>
          <t xml:space="preserve">В случае если планируем снимать квартиру:
Указываем ежемесячную арендную плату.
*Лучше всего будет указать арендную плату за квартиру схожего класса, размера и расположения.
В случае если не планируем снимать квартиру:
Указываем сумму каких-либо расходов, которые вы будете нести при сценарии накопления (например увеличенное потребление).
*Можно указать 0, тогда все потенциальные затраты при сценарии покупки квартиры (платёж по ипотеке, ЖКУ, страховка и т.д.) будут откладываться на будущее жильё.
</t>
        </r>
      </text>
    </comment>
    <comment ref="K65" authorId="0" shapeId="0" xr:uid="{E6876AD4-C9BE-40EA-93C0-CCC332D5234B}">
      <text>
        <r>
          <rPr>
            <sz val="9"/>
            <color indexed="81"/>
            <rFont val="Tahoma"/>
            <family val="2"/>
            <charset val="204"/>
          </rPr>
          <t>Сколько составляет арендная плата за 1-ый год от первоначальной цены квартиры в %.</t>
        </r>
      </text>
    </comment>
    <comment ref="L65" authorId="0" shapeId="0" xr:uid="{D9EE52D6-2C29-4B3B-9250-D2F9CF74524C}">
      <text>
        <r>
          <rPr>
            <sz val="9"/>
            <color indexed="81"/>
            <rFont val="Tahoma"/>
            <family val="2"/>
            <charset val="204"/>
          </rPr>
          <t>Сколько составляет арендная плата за 1-ый год от первоначальной цены квартиры в %.</t>
        </r>
      </text>
    </comment>
    <comment ref="M65" authorId="0" shapeId="0" xr:uid="{1867785A-5AF4-4198-9EEE-78742CB75560}">
      <text>
        <r>
          <rPr>
            <sz val="9"/>
            <color indexed="81"/>
            <rFont val="Tahoma"/>
            <family val="2"/>
            <charset val="204"/>
          </rPr>
          <t>Сколько составляет арендная плата за 1-ый год от первоначальной цены квартиры в %.</t>
        </r>
      </text>
    </comment>
    <comment ref="N65" authorId="0" shapeId="0" xr:uid="{6AF5EBB7-9A4E-4724-96D9-854E7F757362}">
      <text>
        <r>
          <rPr>
            <sz val="9"/>
            <color indexed="81"/>
            <rFont val="Tahoma"/>
            <family val="2"/>
            <charset val="204"/>
          </rPr>
          <t>Сколько составляет арендная плата за 1-ый год от первоначальной цены квартиры в %.</t>
        </r>
      </text>
    </comment>
    <comment ref="K66" authorId="0" shapeId="0" xr:uid="{98EFE908-162F-4DCC-9632-8A9507C881F6}">
      <text>
        <r>
          <rPr>
            <sz val="9"/>
            <color indexed="81"/>
            <rFont val="Tahoma"/>
            <family val="2"/>
            <charset val="204"/>
          </rPr>
          <t>Расходы по ЖКУ в месяц.
P.S. Если в арендную плату включены расходы по ЖКУ, то тут можно либо поставить 0, либо уменьшить арендную плату на предполагаемые расходы по ЖКУ и указать их здесь.
P.S. 2. Если есть другие ежемесячные расходы можно их учесть здесь.</t>
        </r>
      </text>
    </comment>
    <comment ref="L66" authorId="0" shapeId="0" xr:uid="{AF647FD3-1EF1-4F14-83C8-326B60B02C06}">
      <text>
        <r>
          <rPr>
            <sz val="9"/>
            <color indexed="81"/>
            <rFont val="Tahoma"/>
            <family val="2"/>
            <charset val="204"/>
          </rPr>
          <t>Расходы по ЖКУ в месяц.
P.S. Если в арендную плату включены расходы по ЖКУ, то тут можно либо поставить 0, либо уменьшить арендную плату на предполагаемые расходы по ЖКУ и указать их здесь.
P.S. 2. Если есть другие ежемесячные расходы можно их учесть здесь.</t>
        </r>
      </text>
    </comment>
    <comment ref="M66" authorId="0" shapeId="0" xr:uid="{FF712DB4-FC78-4BB9-B197-9C80E046C71E}">
      <text>
        <r>
          <rPr>
            <sz val="9"/>
            <color indexed="81"/>
            <rFont val="Tahoma"/>
            <family val="2"/>
            <charset val="204"/>
          </rPr>
          <t>Расходы по ЖКУ в месяц.
P.S. Если в арендную плату включены расходы по ЖКУ, то тут можно либо поставить 0, либо уменьшить арендную плату на предполагаемые расходы по ЖКУ и указать их здесь.
P.S. 2. Если есть другие ежемесячные расходы можно их учесть здесь.</t>
        </r>
      </text>
    </comment>
    <comment ref="N66" authorId="0" shapeId="0" xr:uid="{87A12E5E-A644-4C4A-ADEE-D450D9B411BC}">
      <text>
        <r>
          <rPr>
            <sz val="9"/>
            <color indexed="81"/>
            <rFont val="Tahoma"/>
            <family val="2"/>
            <charset val="204"/>
          </rPr>
          <t>Расходы по ЖКУ в месяц.
P.S. Если в арендную плату включены расходы по ЖКУ, то тут можно либо поставить 0, либо уменьшить арендную плату на предполагаемые расходы по ЖКУ и указать их здесь.
P.S. 2. Если есть другие ежемесячные расходы можно их учесть здесь.</t>
        </r>
      </text>
    </comment>
    <comment ref="K67" authorId="0" shapeId="0" xr:uid="{FACC3873-6451-4723-9C76-23CCC2FF6986}">
      <text>
        <r>
          <rPr>
            <sz val="9"/>
            <color indexed="81"/>
            <rFont val="Tahoma"/>
            <family val="2"/>
            <charset val="204"/>
          </rPr>
          <t>Сумма арендной платы и расходов по ЖКУ в месяц.</t>
        </r>
      </text>
    </comment>
    <comment ref="L67" authorId="0" shapeId="0" xr:uid="{DE426D8F-10A8-4E19-A431-86364D4E444B}">
      <text>
        <r>
          <rPr>
            <sz val="9"/>
            <color indexed="81"/>
            <rFont val="Tahoma"/>
            <family val="2"/>
            <charset val="204"/>
          </rPr>
          <t>Сумма арендной платы и расходов по ЖКУ в месяц.</t>
        </r>
      </text>
    </comment>
    <comment ref="M67" authorId="0" shapeId="0" xr:uid="{F0839FF9-8AE8-48B2-9877-0C2B2FD92C18}">
      <text>
        <r>
          <rPr>
            <sz val="9"/>
            <color indexed="81"/>
            <rFont val="Tahoma"/>
            <family val="2"/>
            <charset val="204"/>
          </rPr>
          <t>Сумма арендной платы и расходов по ЖКУ в месяц.</t>
        </r>
      </text>
    </comment>
    <comment ref="N67" authorId="0" shapeId="0" xr:uid="{AB322DF0-44FC-4229-8C31-90AB0519E642}">
      <text>
        <r>
          <rPr>
            <sz val="9"/>
            <color indexed="81"/>
            <rFont val="Tahoma"/>
            <family val="2"/>
            <charset val="204"/>
          </rPr>
          <t>Сумма арендной платы и расходов по ЖКУ в месяц.</t>
        </r>
      </text>
    </comment>
    <comment ref="K69" authorId="0" shapeId="0" xr:uid="{BF3909AE-2548-4CA7-BFD0-4B32C91ED762}">
      <text>
        <r>
          <rPr>
            <sz val="9"/>
            <color indexed="81"/>
            <rFont val="Tahoma"/>
            <family val="2"/>
            <charset val="204"/>
          </rPr>
          <t>Необходим ли залог/депозит для арендодателя.</t>
        </r>
      </text>
    </comment>
    <comment ref="L69" authorId="0" shapeId="0" xr:uid="{4AF17C2B-3C47-45CB-A000-CACBEFE0FC13}">
      <text>
        <r>
          <rPr>
            <sz val="9"/>
            <color indexed="81"/>
            <rFont val="Tahoma"/>
            <family val="2"/>
            <charset val="204"/>
          </rPr>
          <t>Необходим ли залог/депозит для арендодателя.</t>
        </r>
      </text>
    </comment>
    <comment ref="M69" authorId="0" shapeId="0" xr:uid="{4AB96081-5F9D-406A-82B6-BA05B2969D66}">
      <text>
        <r>
          <rPr>
            <sz val="9"/>
            <color indexed="81"/>
            <rFont val="Tahoma"/>
            <family val="2"/>
            <charset val="204"/>
          </rPr>
          <t>Необходим ли залог/депозит для арендодателя.</t>
        </r>
      </text>
    </comment>
    <comment ref="N69" authorId="0" shapeId="0" xr:uid="{6CA8474E-861C-4839-A381-153818FAA28E}">
      <text>
        <r>
          <rPr>
            <sz val="9"/>
            <color indexed="81"/>
            <rFont val="Tahoma"/>
            <family val="2"/>
            <charset val="204"/>
          </rPr>
          <t>Необходим ли залог/депозит для арендодателя.</t>
        </r>
      </text>
    </comment>
    <comment ref="K70" authorId="0" shapeId="0" xr:uid="{8B5BDAA9-54CA-4FF9-B11B-1DE7A79D6DC3}">
      <text>
        <r>
          <rPr>
            <sz val="9"/>
            <color indexed="81"/>
            <rFont val="Tahoma"/>
            <family val="2"/>
            <charset val="204"/>
          </rPr>
          <t>Какую часть арендной платы необходимо дополнительно ("Сверху") оставить арендодателю в качестве страхового депозита.
*Обычно депозит не превышает 100% от месячной арендной платы.
P.S. Эта сумма должна вернуться вам при выезде.</t>
        </r>
      </text>
    </comment>
    <comment ref="L70" authorId="0" shapeId="0" xr:uid="{A7634EFC-C8DC-4CAB-891A-64438C9702A5}">
      <text>
        <r>
          <rPr>
            <sz val="9"/>
            <color indexed="81"/>
            <rFont val="Tahoma"/>
            <family val="2"/>
            <charset val="204"/>
          </rPr>
          <t>Какую часть арендной платы необходимо дополнительно ("Сверху") оставить арендодателю в качестве страхового депозита.
*Обычно депозит не превышает 100% от месячной арендной платы.
P.S. Эта сумма должна вернуться вам при выезде.</t>
        </r>
      </text>
    </comment>
    <comment ref="M70" authorId="0" shapeId="0" xr:uid="{F8AB9684-EFFE-48D0-96B2-29140F7A392E}">
      <text>
        <r>
          <rPr>
            <sz val="9"/>
            <color indexed="81"/>
            <rFont val="Tahoma"/>
            <family val="2"/>
            <charset val="204"/>
          </rPr>
          <t>Какую часть арендной платы необходимо дополнительно ("Сверху") оставить арендодателю в качестве страхового депозита.
*Обычно депозит не превышает 100% от месячной арендной платы.
P.S. Эта сумма должна вернуться вам при выезде.</t>
        </r>
      </text>
    </comment>
    <comment ref="N70" authorId="0" shapeId="0" xr:uid="{F8F16FE0-0DF0-4C25-8E25-B237173C34E1}">
      <text>
        <r>
          <rPr>
            <sz val="9"/>
            <color indexed="81"/>
            <rFont val="Tahoma"/>
            <family val="2"/>
            <charset val="204"/>
          </rPr>
          <t>Какую часть арендной платы необходимо дополнительно ("Сверху") оставить арендодателю в качестве страхового депозита.
*Обычно депозит не превышает 100% от месячной арендной платы.
P.S. Эта сумма должна вернуться вам при выезде.</t>
        </r>
      </text>
    </comment>
    <comment ref="K71" authorId="0" shapeId="0" xr:uid="{C5118DAE-D0F2-4907-A194-2873C699868D}">
      <text>
        <r>
          <rPr>
            <sz val="9"/>
            <color indexed="81"/>
            <rFont val="Tahoma"/>
            <family val="2"/>
            <charset val="204"/>
          </rPr>
          <t>Сопутствующие аренде квартиры издержки, например комиссия риелтора.
*Можно учесть прочие расходы, например расходы на переезд с прошлого места жительства.</t>
        </r>
      </text>
    </comment>
    <comment ref="L71" authorId="0" shapeId="0" xr:uid="{C05CD633-C11F-4C59-BDB2-AC9FB8ED0EF9}">
      <text>
        <r>
          <rPr>
            <sz val="9"/>
            <color indexed="81"/>
            <rFont val="Tahoma"/>
            <family val="2"/>
            <charset val="204"/>
          </rPr>
          <t>Сопутствующие аренде квартиры издержки, например комиссия риелтора.
*Можно учесть прочие расходы, например расходы на переезд с прошлого места жительства.</t>
        </r>
      </text>
    </comment>
    <comment ref="M71" authorId="0" shapeId="0" xr:uid="{DECB8214-8A2D-4C96-8D5A-2FA1290311D0}">
      <text>
        <r>
          <rPr>
            <sz val="9"/>
            <color indexed="81"/>
            <rFont val="Tahoma"/>
            <family val="2"/>
            <charset val="204"/>
          </rPr>
          <t>Сопутствующие аренде квартиры издержки, например комиссия риелтора.
*Можно учесть прочие расходы, например расходы на переезд с прошлого места жительства.</t>
        </r>
      </text>
    </comment>
    <comment ref="N71" authorId="0" shapeId="0" xr:uid="{921E3DF9-C64F-4070-A10F-91D84BD082E9}">
      <text>
        <r>
          <rPr>
            <sz val="9"/>
            <color indexed="81"/>
            <rFont val="Tahoma"/>
            <family val="2"/>
            <charset val="204"/>
          </rPr>
          <t>Сопутствующие аренде квартиры издержки, например комиссия риелтора.
*Можно учесть прочие расходы, например расходы на переезд с прошлого места жительства.</t>
        </r>
      </text>
    </comment>
    <comment ref="K73" authorId="0" shapeId="0" xr:uid="{5F76AC51-B906-454F-9B87-3B936DBC2BB8}">
      <text>
        <r>
          <rPr>
            <sz val="9"/>
            <color indexed="81"/>
            <rFont val="Tahoma"/>
            <family val="2"/>
            <charset val="204"/>
          </rPr>
          <t xml:space="preserve">Рост арендной платы на определённые процент в год: %
ИЛИ
Рост арендной платы на определённую сумму в год: ₽
</t>
        </r>
      </text>
    </comment>
    <comment ref="L73" authorId="0" shapeId="0" xr:uid="{B1233FED-E3FA-4999-8AD6-80CF453DF3DB}">
      <text>
        <r>
          <rPr>
            <sz val="9"/>
            <color indexed="81"/>
            <rFont val="Tahoma"/>
            <family val="2"/>
            <charset val="204"/>
          </rPr>
          <t xml:space="preserve">Рост арендной платы на определённые процент в год: %
ИЛИ
Рост арендной платы на определённую сумму в год: ₽
</t>
        </r>
      </text>
    </comment>
    <comment ref="M73" authorId="0" shapeId="0" xr:uid="{AAD8ECE4-AC27-4BA9-BC24-A8A45265ABA6}">
      <text>
        <r>
          <rPr>
            <sz val="9"/>
            <color indexed="81"/>
            <rFont val="Tahoma"/>
            <family val="2"/>
            <charset val="204"/>
          </rPr>
          <t xml:space="preserve">Рост арендной платы на определённые процент в год: %
ИЛИ
Рост арендной платы на определённую сумму в год: ₽
</t>
        </r>
      </text>
    </comment>
    <comment ref="N73" authorId="0" shapeId="0" xr:uid="{2608AE47-2C09-4B43-A6A3-BA547ACEBE1F}">
      <text>
        <r>
          <rPr>
            <sz val="9"/>
            <color indexed="81"/>
            <rFont val="Tahoma"/>
            <family val="2"/>
            <charset val="204"/>
          </rPr>
          <t xml:space="preserve">Рост арендной платы на определённые процент в год: %
ИЛИ
Рост арендной платы на определённую сумму в год: ₽
</t>
        </r>
      </text>
    </comment>
    <comment ref="K74" authorId="0" shapeId="0" xr:uid="{BE8C9ECF-1E1D-4EED-81C1-5B612BC61301}">
      <text>
        <r>
          <rPr>
            <sz val="9"/>
            <color indexed="81"/>
            <rFont val="Tahoma"/>
            <family val="2"/>
            <charset val="204"/>
          </rPr>
          <t>Ежегодный рост арендной платы.
*По умолчанию 6% в год - ежегодный рост арендной платы в России на протяжении последних 20 лет.
**В обычной ситуации должен быть как минимум на уровне инфляции.</t>
        </r>
      </text>
    </comment>
    <comment ref="L74" authorId="0" shapeId="0" xr:uid="{7B5D1C7D-54C8-4BA1-9195-E6F0DDB86705}">
      <text>
        <r>
          <rPr>
            <sz val="9"/>
            <color indexed="81"/>
            <rFont val="Tahoma"/>
            <family val="2"/>
            <charset val="204"/>
          </rPr>
          <t>Ежегодный рост арендной платы.
*По умолчанию 6% в год - ежегодный рост арендной платы в России на протяжении последних 20 лет.
**В обычной ситуации должен быть как минимум на уровне инфляции.</t>
        </r>
      </text>
    </comment>
    <comment ref="M74" authorId="0" shapeId="0" xr:uid="{83101E69-46EE-48EF-B6AC-24F623B1C8EA}">
      <text>
        <r>
          <rPr>
            <sz val="9"/>
            <color indexed="81"/>
            <rFont val="Tahoma"/>
            <family val="2"/>
            <charset val="204"/>
          </rPr>
          <t>Ежегодный рост арендной платы.
*По умолчанию 6% в год - ежегодный рост арендной платы в России на протяжении последних 20 лет.
**В обычной ситуации должен быть как минимум на уровне инфляции.</t>
        </r>
      </text>
    </comment>
    <comment ref="N74" authorId="0" shapeId="0" xr:uid="{BA663140-F96F-4419-9C12-AF48E3F3394C}">
      <text>
        <r>
          <rPr>
            <sz val="9"/>
            <color indexed="81"/>
            <rFont val="Tahoma"/>
            <family val="2"/>
            <charset val="204"/>
          </rPr>
          <t>Ежегодный рост арендной платы.
*По умолчанию 6% в год - ежегодный рост арендной платы в России на протяжении последних 20 лет.
**В обычной ситуации должен быть как минимум на уровне инфляции.</t>
        </r>
      </text>
    </comment>
    <comment ref="K75" authorId="0" shapeId="0" xr:uid="{8ACEB3A3-02E0-4457-8FEA-EAE4E0F53287}">
      <text>
        <r>
          <rPr>
            <sz val="9"/>
            <color indexed="81"/>
            <rFont val="Tahoma"/>
            <family val="2"/>
            <charset val="204"/>
          </rPr>
          <t>На какую сумму увеличивается арендная плата каждый год.
*Вы могли договориться с арендодателем, что сумма будет увеличиваться на определённую величину.</t>
        </r>
      </text>
    </comment>
    <comment ref="L75" authorId="0" shapeId="0" xr:uid="{359337D1-668A-4034-B8F6-C7132EA48C59}">
      <text>
        <r>
          <rPr>
            <sz val="9"/>
            <color indexed="81"/>
            <rFont val="Tahoma"/>
            <family val="2"/>
            <charset val="204"/>
          </rPr>
          <t>На какую сумму увеличивается арендная плата каждый год.
*Вы могли договориться с арендодателем, что сумма будет увеличиваться на определённую величину.</t>
        </r>
      </text>
    </comment>
    <comment ref="M75" authorId="0" shapeId="0" xr:uid="{EB37ACD2-855E-4F81-A50F-B09E676996B2}">
      <text>
        <r>
          <rPr>
            <sz val="9"/>
            <color indexed="81"/>
            <rFont val="Tahoma"/>
            <family val="2"/>
            <charset val="204"/>
          </rPr>
          <t>На какую сумму увеличивается арендная плата каждый год.
*Вы могли договориться с арендодателем, что сумма будет увеличиваться на определённую величину.</t>
        </r>
      </text>
    </comment>
    <comment ref="N75" authorId="0" shapeId="0" xr:uid="{C37515A7-938B-4E6D-A7C7-DABF52B6440A}">
      <text>
        <r>
          <rPr>
            <sz val="9"/>
            <color indexed="81"/>
            <rFont val="Tahoma"/>
            <family val="2"/>
            <charset val="204"/>
          </rPr>
          <t>На какую сумму увеличивается арендная плата каждый год.
*Вы могли договориться с арендодателем, что сумма будет увеличиваться на определённую величину.</t>
        </r>
      </text>
    </comment>
    <comment ref="K78" authorId="0" shapeId="0" xr:uid="{1801FBA0-3F2A-4914-B1C4-B5DCB193EA8F}">
      <text>
        <r>
          <rPr>
            <sz val="9"/>
            <color indexed="81"/>
            <rFont val="Tahoma"/>
            <family val="2"/>
            <charset val="204"/>
          </rPr>
          <t>Доходность инвестиций в год после вычета налогов и прочих расходов (напр. комиссии за управление активами).
*Если вы хотите учесть налоговые льготы по ИИС, то вы можете это сделать здесь.</t>
        </r>
      </text>
    </comment>
    <comment ref="L78" authorId="0" shapeId="0" xr:uid="{8618A58B-AD15-4418-9F39-EF17B3A8B3AF}">
      <text>
        <r>
          <rPr>
            <sz val="9"/>
            <color indexed="81"/>
            <rFont val="Tahoma"/>
            <family val="2"/>
            <charset val="204"/>
          </rPr>
          <t>Доходность инвестиций в год после вычета налогов и прочих расходов (напр. комиссии за управление активами).
*Если вы хотите учесть налоговые льготы по ИИС, то вы можете это сделать здесь.</t>
        </r>
      </text>
    </comment>
    <comment ref="M78" authorId="0" shapeId="0" xr:uid="{EFD0FA83-3182-4780-8183-1AD7FA61F62E}">
      <text>
        <r>
          <rPr>
            <sz val="9"/>
            <color indexed="81"/>
            <rFont val="Tahoma"/>
            <family val="2"/>
            <charset val="204"/>
          </rPr>
          <t>Доходность инвестиций в год после вычета налогов и прочих расходов (напр. комиссии за управление активами).
*Если вы хотите учесть налоговые льготы по ИИС, то вы можете это сделать здесь.</t>
        </r>
      </text>
    </comment>
    <comment ref="N78" authorId="0" shapeId="0" xr:uid="{2FAB52BC-D70E-47BE-8E64-4CEA9B9C80EF}">
      <text>
        <r>
          <rPr>
            <sz val="9"/>
            <color indexed="81"/>
            <rFont val="Tahoma"/>
            <family val="2"/>
            <charset val="204"/>
          </rPr>
          <t>Доходность инвестиций в год после вычета налогов и прочих расходов (напр. комиссии за управление активами).
*Если вы хотите учесть налоговые льготы по ИИС, то вы можете это сделать здесь.</t>
        </r>
      </text>
    </comment>
    <comment ref="K79" authorId="0" shapeId="0" xr:uid="{AC62C3C6-7E62-446F-A367-2C369FCA298D}">
      <text>
        <r>
          <rPr>
            <sz val="9"/>
            <color indexed="81"/>
            <rFont val="Tahoma"/>
            <family val="2"/>
            <charset val="204"/>
          </rPr>
          <t>Ожидаемая долгосрочная инфляция.
*По умолчанию 8% в год - среднегодовой темп инфляции в России за последние 20 лет.</t>
        </r>
      </text>
    </comment>
    <comment ref="L79" authorId="0" shapeId="0" xr:uid="{3CA7480B-95C4-43C4-9A2C-0254DB4C7883}">
      <text>
        <r>
          <rPr>
            <sz val="9"/>
            <color indexed="81"/>
            <rFont val="Tahoma"/>
            <family val="2"/>
            <charset val="204"/>
          </rPr>
          <t>Ожидаемая долгосрочная инфляция.
*По умолчанию 8% в год - среднегодовой темп инфляции в России за последние 20 лет.</t>
        </r>
      </text>
    </comment>
    <comment ref="M79" authorId="0" shapeId="0" xr:uid="{8A1AB417-B20F-491C-A006-C17C62AE62F2}">
      <text>
        <r>
          <rPr>
            <sz val="9"/>
            <color indexed="81"/>
            <rFont val="Tahoma"/>
            <family val="2"/>
            <charset val="204"/>
          </rPr>
          <t>Ожидаемая долгосрочная инфляция.
*По умолчанию 8% в год - среднегодовой темп инфляции в России за последние 20 лет.</t>
        </r>
      </text>
    </comment>
    <comment ref="N79" authorId="0" shapeId="0" xr:uid="{0BE84E55-90D7-412E-B20B-8FFCF9C0B1ED}">
      <text>
        <r>
          <rPr>
            <sz val="9"/>
            <color indexed="81"/>
            <rFont val="Tahoma"/>
            <family val="2"/>
            <charset val="204"/>
          </rPr>
          <t>Ожидаемая долгосрочная инфляция.
*По умолчанию 8% в год - среднегодовой темп инфляции в России за последние 20 лет.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Заплаткин Максим Русланович</author>
  </authors>
  <commentList>
    <comment ref="B63" authorId="0" shapeId="0" xr:uid="{7E69C87B-23F7-4F6F-A827-2CDDC5DE0939}">
      <text>
        <r>
          <rPr>
            <sz val="9"/>
            <color indexed="81"/>
            <rFont val="Tahoma"/>
            <family val="2"/>
            <charset val="204"/>
          </rPr>
          <t>Должны быть равны между собой.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Заплаткин Максим Русланович</author>
  </authors>
  <commentList>
    <comment ref="M5" authorId="0" shapeId="0" xr:uid="{757C1B8C-3294-4DDB-955F-3682AFA94333}">
      <text>
        <r>
          <rPr>
            <sz val="9"/>
            <color indexed="81"/>
            <rFont val="Tahoma"/>
            <family val="2"/>
            <charset val="204"/>
          </rPr>
          <t>Переплата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<sst xmlns="http://schemas.openxmlformats.org/spreadsheetml/2006/main" count="525" uniqueCount="238">
  <si>
    <t>Вводные данные модели</t>
  </si>
  <si>
    <t>Help</t>
  </si>
  <si>
    <t>Статистика</t>
  </si>
  <si>
    <t>Легенда</t>
  </si>
  <si>
    <t xml:space="preserve">Сценарий покупки </t>
  </si>
  <si>
    <t>Единица</t>
  </si>
  <si>
    <t>Вводная</t>
  </si>
  <si>
    <t>Статистика рассматриваемого периода</t>
  </si>
  <si>
    <t>Покупка</t>
  </si>
  <si>
    <t>Аренда/Накопление</t>
  </si>
  <si>
    <t>Можно изменять</t>
  </si>
  <si>
    <t>Цена квартиры</t>
  </si>
  <si>
    <t>₽</t>
  </si>
  <si>
    <t>Первоначальные расходы</t>
  </si>
  <si>
    <t>Выбор из списка</t>
  </si>
  <si>
    <t>Стоимость первоначального ремонта</t>
  </si>
  <si>
    <t>Наилучший выбор</t>
  </si>
  <si>
    <t>Период моделирования</t>
  </si>
  <si>
    <t>лет</t>
  </si>
  <si>
    <t>% в год</t>
  </si>
  <si>
    <t>Показатель</t>
  </si>
  <si>
    <t>Инвест.портфеля</t>
  </si>
  <si>
    <t>Квартира покупается в ипотеку ?</t>
  </si>
  <si>
    <t>"Да" или "нет"</t>
  </si>
  <si>
    <t>Да</t>
  </si>
  <si>
    <t>Конечная стоимость</t>
  </si>
  <si>
    <t>Первоначальный взнос, в % от стоимости</t>
  </si>
  <si>
    <t>%</t>
  </si>
  <si>
    <t>Фактический первоначальный взнос</t>
  </si>
  <si>
    <t>Статистика по ипотеке</t>
  </si>
  <si>
    <t>Аренда</t>
  </si>
  <si>
    <t>Первоначальная сумма кредита</t>
  </si>
  <si>
    <t>Ежемесячный платёж</t>
  </si>
  <si>
    <t>Ставка по ипотечному кредиту</t>
  </si>
  <si>
    <t>Минимальный месячный доход</t>
  </si>
  <si>
    <t>Период ипотеки</t>
  </si>
  <si>
    <t>Переплата процентов</t>
  </si>
  <si>
    <t>₽ в мес</t>
  </si>
  <si>
    <t>Нужна ли страховка ?</t>
  </si>
  <si>
    <t>Страховка в % от цены квартиры?</t>
  </si>
  <si>
    <t>Расходы на страховку, в % от цены квартиры</t>
  </si>
  <si>
    <t>Расходы на страховку за год, в рублях</t>
  </si>
  <si>
    <t>₽ в год</t>
  </si>
  <si>
    <t>Виды сценариев</t>
  </si>
  <si>
    <t>Рост стоимости страховки</t>
  </si>
  <si>
    <t>Ставка налога на имущество, в % от цены квартиры</t>
  </si>
  <si>
    <t>Платёж по налогу за 1-ый год</t>
  </si>
  <si>
    <t>Средние расходы по ЖКУ в месяц</t>
  </si>
  <si>
    <t>Средние расходы на кап. ремонт в месяц</t>
  </si>
  <si>
    <t>Прочие расходы в месяц</t>
  </si>
  <si>
    <t>Итого ежемесячные расходы</t>
  </si>
  <si>
    <t>Трансакционные издержки при покупке жилья</t>
  </si>
  <si>
    <t>Трансакционные издержки при продаже жилья</t>
  </si>
  <si>
    <t>Будем делать налоговый вычет ?</t>
  </si>
  <si>
    <t>Ваша ставка НДФЛ</t>
  </si>
  <si>
    <t>Налоговый вычет за покупку жилья</t>
  </si>
  <si>
    <t>Налоговый вычет за % по ипотечному кредиту</t>
  </si>
  <si>
    <t>Сценарий аренды/накопления</t>
  </si>
  <si>
    <t>Свободные деньги для инвестирования</t>
  </si>
  <si>
    <t>Будем ли арендовывать квартиру?</t>
  </si>
  <si>
    <t>Годовая арендная плата в % от цены квартиры</t>
  </si>
  <si>
    <t>Итого расходы по аренде</t>
  </si>
  <si>
    <t>Есть ли обязательный залог/депозит?</t>
  </si>
  <si>
    <t>Залог, в % от арендной платы</t>
  </si>
  <si>
    <t>Трансакционные издержки при аренде жилья</t>
  </si>
  <si>
    <t>Годовой рост арендной платы в % или в рублях</t>
  </si>
  <si>
    <t xml:space="preserve">% или ₽ </t>
  </si>
  <si>
    <t xml:space="preserve">Рост арендной платы в % в год </t>
  </si>
  <si>
    <t>Рост арендной платы в ₽ в год</t>
  </si>
  <si>
    <t>Ключевые вводные</t>
  </si>
  <si>
    <t>Годовой темп инфляции</t>
  </si>
  <si>
    <t>Нет</t>
  </si>
  <si>
    <t>Сценарий аренды</t>
  </si>
  <si>
    <t>Сценарий накопления</t>
  </si>
  <si>
    <t>Базовый</t>
  </si>
  <si>
    <t>Льготная ипотека</t>
  </si>
  <si>
    <t>Квартира ребёнку</t>
  </si>
  <si>
    <t>Недвижимость vs Акции</t>
  </si>
  <si>
    <t>&lt;===</t>
  </si>
  <si>
    <t>Документация Help</t>
  </si>
  <si>
    <t>Указывается цена покупки квартиры + все затраты на ремонт, если он включён в ипотеку. 
В случае если затраты на ремонт не включены в ипотеку и будут оплачиваться за счёт собственных средств (которые уже у вас имеются), то необходимо указать стоимость первоначального ремонта в соответствующей ячейке ниже.</t>
  </si>
  <si>
    <t>Все затраты на ремонт квартиры, если они будут проводиться не за счёт ипотеки</t>
  </si>
  <si>
    <t>Период на котором происходит сравнение (не более 50 лет).</t>
  </si>
  <si>
    <t>Квартира будет покупаться в ипотеку или вы сразу оплатите всю сумму?</t>
  </si>
  <si>
    <t>Первоначальный взнос для получения ипотеки (предполагается, что он у вас уже имеется).
*Если ваша сумма превышает требуемый первоначальный взнос и вы готовы использовать её для уменьшения суммы кредита, увеличьте первоначальный взнос. Например, если банк требует 30% от цены квартиры, а у вас есть 50%, вы можете внести 50%.</t>
  </si>
  <si>
    <t>Сумма первоначального взноса в рублях
Рассчитывается как: "Цена квартиры" * "Первоначальный взнос в, в % от стоимости"</t>
  </si>
  <si>
    <t>Период ипотеки. Должен быть меньше или равен периоду моделирования.</t>
  </si>
  <si>
    <t>Ежемесячный платёж по ипотеке.
Рассчитывается с помощью встроенной функции ПЛТ (PMT). Вводные: "Первоначальная сумма кредита", "Ставка по ипотечному кредиту", "Период ипотеки"</t>
  </si>
  <si>
    <t>Планируется ли страховать квартиру?
*Если страховка уже учтена в процентной ставке по ипотеке, укажите "Нет".
**Если страховка не учтена в процентной ставке, но банк требует её оформить, укажите "Да" и введите параметры страховки ниже.</t>
  </si>
  <si>
    <t>Как будет рассчитываться стоимость страховки?
"Да" - В процентах от рыночной цены квартиры.
"Нет" - Как фиксированная сумма, которая будет увеличиваться каждый год на определённый процент (например, на уровень инфляции).</t>
  </si>
  <si>
    <t xml:space="preserve">Расходы будут рассчитываться в процентах от рыночной цены квартиры.
P.S. С увеличением рыночной стоимости объекта недвижимости данные расходы также будут расти.
</t>
  </si>
  <si>
    <t>Ежегодные расходы на страховку квартиры в рублях.</t>
  </si>
  <si>
    <t>Ежегодный рост стоимости страховки, по умолчанию, равен темпу инфляции</t>
  </si>
  <si>
    <t>Ставка налога на имущество зависит от региона покупки квартиры, её стоимости и квадрометража.
Необходимо определить ставку самостоятельно.
*Если определить точно не представляется возможным, то указывайте завышенное значение.
**В России налог считается от кадастровой стоимости, которая определяется специальной бюджетной организацией раз в 2-4 года. Из-за чего налог сложно прогнозировать, поэтому рекомендуется указывать приблизительное значение и оценивать его на адекватность.</t>
  </si>
  <si>
    <t>Платёж по налогу на имущество за первый год.
*Указан для упрощения понимания адекватности уплачиваемого налога.</t>
  </si>
  <si>
    <t>Расходы на коммунальные услуги: воду (холодную и горячую), газ, электричество, вывоз мусора, отопление и канализацию.
*Пример: Если вы в летний период (на протяжении 6 месяцев) платите 5000 рублей за ЖКУ, а в зимний период (также 6 месяцев) платите 10000 рублей, то в ячейку необходимо указывать средневзвешенную величину, которая в данном случае равна 7500 рублей в месяц.
**Если вы планируете сдавать купленную квартиру в аренду и уже учли это при вводе роста стоимости, рекомендуется указать в этом пункте значение 0, так как российская практика предполагает перекладывание расходов по ЖКУ на арендатора. Таким образом, для вас, как для арендодателя, они будут равны 0.</t>
  </si>
  <si>
    <t xml:space="preserve">Ежемесячные расходы на капитальный ремонт общих помещений, прилегающей территории, коммуникаций и так далее.
*В случае если дом новый, можно указать 0 или какую-либо минимальную сумму.
</t>
  </si>
  <si>
    <t>Ежемесячные расходы на обслуживание шлагбаума, домофона, консьержа и др.</t>
  </si>
  <si>
    <t xml:space="preserve">Сумма расходов по ЖКУ, кап. ремонту и прочих. </t>
  </si>
  <si>
    <t>Сопутствующие покупке квартиры расходы. Эти расходы могут включать комиссию риелтора, расходы на юридические услуги и другие сопутствующие затраты.</t>
  </si>
  <si>
    <t xml:space="preserve">Сопутствующие продаже квартиры расходы, такие как услуги риелтора и скидка, необходимая для сокращения срока реализации квартиры. Эти расходы указываются в процентах от цены квартиры. 
По умолчанию рекомендуется установить на уровне 3%.
</t>
  </si>
  <si>
    <t>Планируются ли налоговые вычеты?
*Если вы покупаете квартиру не в России или у вас нет права на вычет, укажите "Нет".</t>
  </si>
  <si>
    <t>В случае покупки (не в ипотеку): 
Цена квартиры + Первоначальный ремонт + Трансакционные издержки при покупке - Обязательный залог/депозит при аренде - Трансакционные издержки при аренде
В случае покупки в ипотеку: 
Первоначальный взнос + Первоначальный ремонт + Трансакционные издержки - Обязательный залог/депозит при аренде - Трансакционные издержки при аренде
*Если аредовывать квартиру не планируется, то депозит и трансакционные издержки будут равны 0.</t>
  </si>
  <si>
    <t>"Да": Арендуем квартиру (Сценарий аренды).
"Нет": Живем "бесплатно", например, у родственников (Сценарий накопления).</t>
  </si>
  <si>
    <t>Средняя арендная плата/Ежемесячные расходы</t>
  </si>
  <si>
    <t>В случае если планируем снимать квартиру (Сценарий аренды):
Указываем ежемесячную арендную плату.
*Лучше всего указать арендную плату за квартиру схожего класса, размера и расположения.
В случае если не планируем снимать квартиру (Сценарий накопления):
Указываем сумму каких-либо расходов, которые вы будете нести при сценарии накопления (например увеличенное потребление).
*Можно указать 0, тогда все потенциальные затраты при сценарии покупки квартиры (платёж по ипотеке, ЖКУ, страховка и т.д.) будут направляться на сбережения (инвестиции).</t>
  </si>
  <si>
    <t>Сколько составляет арендная плата за 1-ый год от первоначальной цены квартиры в %.</t>
  </si>
  <si>
    <t>Расходы по ЖКУ в месяц.
P.S. Если в арендную плату включены расходы по ЖКУ, то тут можно либо поставить 0, либо уменьшить арендную плату на предполагаемые расходы по ЖКУ и указать их здесь (второй вариант наиболее корректен, так как расходы по ЖКУ и арендной плате растут разными темпами).
P.S. 2.  Прочие ежемесячные расходы также можно учесть здесь.</t>
  </si>
  <si>
    <t>Сумма арендной платы и расходов по ЖКУ в месяц.</t>
  </si>
  <si>
    <t>Необходим ли залог/депозит для арендодателя.</t>
  </si>
  <si>
    <t>Какую часть арендной платы необходимо дополнительно ("сверху") оставить арендодателю в качестве страхового депозита.
*Обычно депозит не превышает 100% от месячной арендной платы.
P.S. Эта сумма должна быть возвращена вам при выезде.</t>
  </si>
  <si>
    <t>Сопутствующие аренде квартиры издержки, например комиссия риелтора.
*Можно учесть прочие расходы, например расходы на переезд с прошлого места жительства.</t>
  </si>
  <si>
    <t>Ежегодный рост арендной платы.
*По умолчанию 6% в год - ежегодный рост арендной платы в России на протяжении последних 20 лет.
**В обычной ситуации должен быть как минимум на уровне инфляции.</t>
  </si>
  <si>
    <t>На какую сумму увеличивается арендная плата каждый год.
*Вы могли договориться с арендодателем, что сумма будет увеличиваться на определённую величину.</t>
  </si>
  <si>
    <t>Ожидаемая средняя долгосрочная инфляция.
*По умолчанию составляет 8% в год. Это среднегодовой темп инфляции в России за последние 20 лет.</t>
  </si>
  <si>
    <t>Расходы учитываются с "-", а доходы со знаком "+"</t>
  </si>
  <si>
    <t>В случае покупки в ипотеку:
Первоначальный взнос + Трансакционные издержки на покупку + Цена первоначального ремонта (если он не включён в ипотеку).
В случае покупки (без ипотеки):
Цена квартиры + Трансакционные издержки на покупку + Цена первоначального ремонта (если не учтена в цене квартиры).
*Размер капитала, необходимый для покрытия первоначальных затрат.</t>
  </si>
  <si>
    <t>Фактическая (ликвидная) стоимость капитала на конец периода моделирования = 
Залог за аренду квартиры (если арендовываем квартиру) + Свободные деньги для инвестиций + Инвестиционный доход (от свободных денег для инвестиций и положительных разниц) + Положительная разница, в каждом периоде, между: общими расходами по аренде - общими расходами по покупке.
*Положительная разница учитывает налоговые вычеты.</t>
  </si>
  <si>
    <t>Оценочный минимальный уровень дохода при котором ипотечный платёж будет комфортным.
Рассчитывается как: Ежемесячный платёж/0,6
*Если ваш (семейный) ежемесячный доход ниже данного показателя, использование ипотечного кредита нецелесообразно, так как это может негативно сказаться финансовом благосостоянии.
P.S. Модель предполагает, что вы в состоянии покрыть задаваемые вами расходы. Для этого ваш (семейный) доход должен быть как минимум около данного значения, а лучше превышать его.</t>
  </si>
  <si>
    <t>Сумма процентов, которую вы выплатите банку за период ипотечного кредита.</t>
  </si>
  <si>
    <t>• "Аренда" - финансовая модель для сценария аренды и накопления. Здесь вы можете увидеть годовые расчеты, которые определяют выходные данные модели для сценариев аренды и накопления.
• "Покупка" - то же, что и выше, но на этот раз для сценария покупки.
• "Ипотека" - показывает ежемесячное изменение остатка основной суммы по ипотеке. Также показывает, как ваши платежи по ипотеке распределяются между выплатами процентов и основной суммы.
• "Налоговые вычеты" - вводные данные по лимитам налоговых вычетов в России.</t>
  </si>
  <si>
    <t>Период конца года</t>
  </si>
  <si>
    <t>Средние расходы по ЖКУ в год</t>
  </si>
  <si>
    <t>Депозит</t>
  </si>
  <si>
    <t>Инвестиционный доход</t>
  </si>
  <si>
    <t>Ликвидный чистый капитал</t>
  </si>
  <si>
    <t>Изм. ЛЧК</t>
  </si>
  <si>
    <t>Сценарий покупки</t>
  </si>
  <si>
    <t>Годовой платёж по долгу</t>
  </si>
  <si>
    <t>Годовой платёж по процентам</t>
  </si>
  <si>
    <t>Общий годовой платёж</t>
  </si>
  <si>
    <t>Страховой платёж, в % от цены квартиры</t>
  </si>
  <si>
    <t>Страховой платёж заданный в рублях</t>
  </si>
  <si>
    <t>Выбранный страховой платёж</t>
  </si>
  <si>
    <t>Расходы по налогу на имущество</t>
  </si>
  <si>
    <t>Расходы по ЖКУ</t>
  </si>
  <si>
    <t>Расходы на кап. ремонт</t>
  </si>
  <si>
    <t>Прочие расходы</t>
  </si>
  <si>
    <t>Итоговые расходы на жильё</t>
  </si>
  <si>
    <t>Итоговые расходы на жильё в месяц</t>
  </si>
  <si>
    <t>Рост расходов от года к году</t>
  </si>
  <si>
    <t>Цена первоначального ремонта</t>
  </si>
  <si>
    <t>Трансакционные издержки при покупке</t>
  </si>
  <si>
    <t>Первоначальный взнос</t>
  </si>
  <si>
    <t>Расходы на жильё до налоговых льгот и вычетов</t>
  </si>
  <si>
    <t>Расходы на жильё до налоговых льгот и вычетов в месяц</t>
  </si>
  <si>
    <t>Налоговый вычет на покупку жилья</t>
  </si>
  <si>
    <t>Налоговый вычет на проценты</t>
  </si>
  <si>
    <t>Общие расходы на жильё</t>
  </si>
  <si>
    <t>Общие расходы на жильё в месяц</t>
  </si>
  <si>
    <t>Остаток кредита</t>
  </si>
  <si>
    <t>Чистая цена квартира</t>
  </si>
  <si>
    <t>Трансакционные издержки при продаже</t>
  </si>
  <si>
    <t>Ликвидная цена квартиры</t>
  </si>
  <si>
    <t>Разница между арендой и покупкой</t>
  </si>
  <si>
    <t>Стоимость инвестиций</t>
  </si>
  <si>
    <t>Сумма процентов</t>
  </si>
  <si>
    <t>Месяцев в периоде</t>
  </si>
  <si>
    <t>Начало периода</t>
  </si>
  <si>
    <t>Конец периода</t>
  </si>
  <si>
    <t>Кредитные рассчёты</t>
  </si>
  <si>
    <t>Все платежи по долгу</t>
  </si>
  <si>
    <t>Месячный процент по ипотеке</t>
  </si>
  <si>
    <t>Все платежи процентов</t>
  </si>
  <si>
    <t>Всего платежей</t>
  </si>
  <si>
    <t>Распределение ежемесячного платежа по ипотеке, в %</t>
  </si>
  <si>
    <t>Распределение ежемесячного платежа по ипотеке, в ₽</t>
  </si>
  <si>
    <t>Месяц</t>
  </si>
  <si>
    <t>Начальный баланс</t>
  </si>
  <si>
    <t>Месячный процент</t>
  </si>
  <si>
    <t>Ежемесячные проценты</t>
  </si>
  <si>
    <t>Конечный баланс</t>
  </si>
  <si>
    <t>Выплата долга</t>
  </si>
  <si>
    <t>Выплата процентов</t>
  </si>
  <si>
    <t>Лимиты по налоговым вычетам</t>
  </si>
  <si>
    <t>Если не работают макросы необходимо разрешить их использование (на панели инструментов Excel: перейдите к файл &gt; параметры &gt; центр управления безопасностью &gt; параметры центра управления безопасностью &gt; параметры макросов &gt; установите флажок включить макросы VBA) и 
сохранить файл в надёжное расположение (на панели инструментов Excel: перейдите к файл &gt; параметры &gt; центр управления безопасностью &gt; параметры центра управления безопасностью &gt; надёжные расположения &gt; добавить новое расположение &gt; выберите расположение через "Обзор")</t>
  </si>
  <si>
    <t xml:space="preserve">Стандартный сценарий с параметрами приближенными к реальности </t>
  </si>
  <si>
    <t>Стандартный сценарий с заниженной стоимостью ипотеки</t>
  </si>
  <si>
    <r>
      <t xml:space="preserve">Ниже представлены примечания к модели
</t>
    </r>
    <r>
      <rPr>
        <sz val="14"/>
        <color theme="1"/>
        <rFont val="Calibri"/>
        <family val="2"/>
        <charset val="204"/>
        <scheme val="minor"/>
      </rPr>
      <t xml:space="preserve">
• Модель предполагает, что вы в состоянии покрыть задаваемые вами расходы за счет своего дохода; пожалуйста, убедитесь, что это относится как к сценарию аренды / накопления, так и к сценарию покупки. 
• Предполагается, что любая разница в расходах на жилье между арендой / накоплением и покупкой инвестируется в портфель акций / облигаций, доходность которого вы задаёте самостоятельно, что увеличивает чистый доход в этом сценарии. Например, если аренда дешевле покупки в течение 1 года на 10000 рублей, предполагается, что в сценарии аренды есть дополнительные 10000 рублей дохода, которые инвестируются в рынок.
• Максимальный период моделирования - 50 лет.</t>
    </r>
  </si>
  <si>
    <t>Процентная ставка по ипотечному кредиту для вас.
*В случае если у вас есть какие-либо льготы, уменьшающие ставку, учтите их здесь. Например ваш работодатель дополнительно субсидирует ипотеку из-за чего ставка для вас вместо 20% становиться равной 2%.
**Если вы в будущем планируете рефинансировать кредит, необходимо указывать долгосрочную ставку %.</t>
  </si>
  <si>
    <t>Чистая годовая доходность</t>
  </si>
  <si>
    <t>Средний ожидаемый рост стоимости квартиры за год.
По умолчанию 8,5% - консервативная оценка роста недвижимости.
* Если вы хотите учесть сдачу квартиры в аренду, то вы можете увеличить данное значение, например вместо 8,5% поставить 11-12%.
** Если вы хотите учесть расходы на ремонт (амортизацию), то можете уменьшить данное значение, например вместо 8,5% поставить 7-8%.</t>
  </si>
  <si>
    <t>r</t>
  </si>
  <si>
    <t>Чуствительность итогового результата при базовом сценарии</t>
  </si>
  <si>
    <t>% по ипотеке</t>
  </si>
  <si>
    <t>Рост стоимости квартир</t>
  </si>
  <si>
    <t>Рост арендной платы</t>
  </si>
  <si>
    <t>Рост арендной платы, в год</t>
  </si>
  <si>
    <t>Изменение стоимости недвижимости</t>
  </si>
  <si>
    <t>Доходность недвижимости</t>
  </si>
  <si>
    <t>Доход от ренты</t>
  </si>
  <si>
    <t>Чистая доходность аренды</t>
  </si>
  <si>
    <t>Сальдо доходов и расходов</t>
  </si>
  <si>
    <t>Доход от ренды в месяц</t>
  </si>
  <si>
    <t>Рост чистой цены квартиры</t>
  </si>
  <si>
    <t>Свободные деньги для инвестиций (вкладываются в инвестиционный портфель/на депозит в банке) + Залог (если есть) + Трансакционные издержки (если есть)
*Показывает размер капитала, инвестированного в портфель, за вычетом сопутствующих аренде расходов.
**Всегда равен первоначальным расходам при сценарии покупки.</t>
  </si>
  <si>
    <t>Аренда - Покупка</t>
  </si>
  <si>
    <t>Смотрите комментарии наводя на ячейки</t>
  </si>
  <si>
    <t>Ипотека</t>
  </si>
  <si>
    <t>Страховка</t>
  </si>
  <si>
    <t>Налог</t>
  </si>
  <si>
    <t>ЖКУ + прочее</t>
  </si>
  <si>
    <t>Денежный поток</t>
  </si>
  <si>
    <t>Внутренняя норма доходности (IRR)</t>
  </si>
  <si>
    <t>Сумма денежных потоков</t>
  </si>
  <si>
    <t>Недвижимости</t>
  </si>
  <si>
    <t>Сценарий льготной ипотеки со сдачей квартиры в аренду при альтернативном накоплении (Копить или купить)</t>
  </si>
  <si>
    <t>Сценарий сравнения инвестиций в недвижимость и инвестиций в фондовый рынок</t>
  </si>
  <si>
    <t>Итоговый капитал в денежной оценке</t>
  </si>
  <si>
    <t>Сценарии для копирования</t>
  </si>
  <si>
    <t>Денежный поток аренда</t>
  </si>
  <si>
    <t>Денежный поток покупка</t>
  </si>
  <si>
    <t>конечн</t>
  </si>
  <si>
    <t>Нач</t>
  </si>
  <si>
    <t>Маржа</t>
  </si>
  <si>
    <t>Леверидж</t>
  </si>
  <si>
    <t>Прибыль</t>
  </si>
  <si>
    <t>Доходность</t>
  </si>
  <si>
    <t>В год</t>
  </si>
  <si>
    <t>Прибыль - проценты</t>
  </si>
  <si>
    <t xml:space="preserve">Если не работают макросы необходимо разрешить их использование (на панели инструментов Excel: перейдите к файл &gt; параметры &gt; центр управления безопасностью &gt; параметры центра управления безопасностью &gt; параметры макросов &gt; установите флажок включить макросы VBA) и </t>
  </si>
  <si>
    <t>сохранить файл в надёжное расположение (на панели инструментов Excel: перейдите к файл &gt; параметры &gt; центр управления безопасностью &gt; параметры центра управления безопасностью &gt; надёжные расположения &gt; добавить новое расположение &gt; выберите расположение через "Обзор")</t>
  </si>
  <si>
    <t>Фактическая (ликвидная) стоимость капитала на конец периода моделирования = 
Цена квартиры (на момент окончания моделирования) - Трансакционные издержки при продаже жилья + Инвестиционный доход (от положительных разниц, при их наличии) + Положительная разница, в каждом периоде, между: Общими расходами по покупке - общими расходами по аренде.
*Положительная разница учитывает налоговые вычеты.</t>
  </si>
  <si>
    <t>• Для использование кнопок (макросов) необходимо разрешить их использование (на панели инструментов Excel: перейдите к файл &gt; параметры &gt; центр управления безопасностью &gt; параметры центра управления безопасностью &gt; параметры макросов &gt; установите флажок включить макросы VBA) и сохранить файл в надёжное расположение (на панели инструментов Excel: перейдите к файл &gt; параметры &gt; центр управления безопасностью &gt; параметры центра управления безопасностью &gt; надёжные расположения &gt; добавить новое расположение &gt; выберите расположение через "Обзор")</t>
  </si>
  <si>
    <r>
      <t xml:space="preserve">Добро пожаловать в калькулятор соотношения аренды/накопления и покупки!
</t>
    </r>
    <r>
      <rPr>
        <sz val="14"/>
        <color theme="1"/>
        <rFont val="Calibri"/>
        <family val="2"/>
        <charset val="204"/>
        <scheme val="minor"/>
      </rPr>
      <t xml:space="preserve">
Прежде чем вы начнете, вот несколько советов о том, как наилучшим образом использовать этот инструмент:
• Единственная вкладка, которую вам нужно использовать в этой электронной таблице, - это вкладка "Вводные".
• На вкладке "Вводные" вам нужно вводить допущения только в те ячейки, которые выделены желтым цветом. В ячейках, обведённых чёрным, необходимо выбирать из списка вариантов.
• Для удобства ввода данных, рекомендуется заполнять их сверху-вниз.
• После того, как вы ввели свои допущения в модель, она должна пересчитаться автоматически. В случае если этого не произошло нажмите на клавишу F9 на клавиатуре.
</t>
    </r>
    <r>
      <rPr>
        <b/>
        <sz val="14"/>
        <color theme="1"/>
        <rFont val="Calibri"/>
        <family val="2"/>
        <charset val="204"/>
        <scheme val="minor"/>
      </rPr>
      <t xml:space="preserve">
</t>
    </r>
    <r>
      <rPr>
        <sz val="14"/>
        <color theme="1"/>
        <rFont val="Calibri"/>
        <family val="2"/>
        <charset val="204"/>
        <scheme val="minor"/>
      </rPr>
      <t>• Если модель запускается медленно или вообще не работает, пожалуйста, попробуйте выполнить следующее: (1) закройте все другие запущенные электронные таблицы Excel и (2) убедитесь, что вы находитесь в режиме расчета "автоматически, за исключением таблиц данных" (на панели инструментов Excel: перейдите к файл &gt; параметры &gt; формулы &gt; установите флажок "автоматически" в разделе параметры расчета).
• В случае если изменяться лимиты по налоговым вычетам, то вы можете их изменить самостоятельно во вкладке "Налоговые вычеты".</t>
    </r>
    <r>
      <rPr>
        <b/>
        <sz val="14"/>
        <color theme="1"/>
        <rFont val="Calibri"/>
        <family val="2"/>
        <charset val="204"/>
        <scheme val="minor"/>
      </rPr>
      <t xml:space="preserve">
</t>
    </r>
  </si>
  <si>
    <t>Внутренняя норма доходности (IRR).</t>
  </si>
  <si>
    <t xml:space="preserve">
Процентная ставка, при которой чистая текущая стоимость всех денежных потоков от инвестиций (как входящих, так и исходящих) равна нулю. Проще говоря, это собственная доходность инвестиционного проекта, которая учитывает разнесенные по времени вложения и доходы. Чем выше IRR, тем привлекательнее инвестиция.
</t>
  </si>
  <si>
    <t>Стоимость объекта недвижимости по окончании срока моделирования (без учёта трансакционных издержек)</t>
  </si>
  <si>
    <t>Стоимость инвестиционного портфеля на момент окончания моделирования.
*Показывает хватит ли денег при продаже инвестиционного портфеля на приобретение квартиры</t>
  </si>
  <si>
    <t xml:space="preserve"> </t>
  </si>
  <si>
    <t>Сумма ипотечного кредита, которую вам необходимо погасить
Рассчитывается как: "Цена квартиры" - "Фактический первоначальный взнос"</t>
  </si>
  <si>
    <t>Доходность инвестиций в год после вычета налогов и прочих расходов (напр. комиссии за управление активами).
*Если вы хотите учесть налоговые льготы по ИИС, то вы можете это сделать здесь.</t>
  </si>
  <si>
    <t>Доходность аренды в % от стоимости квартиры за вычетом сопутствующих сдаче в аренду расходов.
* = ((Доход от сдачи в аренду в мес - сопутсвующий расход в мес.) * 12)/Цену квартиры</t>
  </si>
  <si>
    <t>Рост арендной платы на определённый процент в год: %
ИЛИ
Рост арендной платы на определённую сумму в год: ₽</t>
  </si>
  <si>
    <t>Фактическая сумма которую вы получите в случае вычета за покупку жилья.
(на 2026 год)</t>
  </si>
  <si>
    <t>Фактическая сумма вычета, которую вы получите за уплату % по ипотечному кредиту.
*В случае если вы покупаете квартиру без использования кредита, то ваш налоговый вычет за % будет равен 0.
(на 2026 год)</t>
  </si>
  <si>
    <t>Ваша ставка НДФЛ
Зависить от уровня ваших годовых доходов:
13% — для доходов до 2,4 млн рублей в год.
15% — для части дохода от 2,4 млн до 5 млн рублей.
18% — для части дохода от 5 млн рублей до 20 млн рублей.
20% — для части дохода от 20 млн до 50 млн рублей.
22% — для части дохода от 50 млн рублей.
(на 2026 год)</t>
  </si>
  <si>
    <t>Скопируйте столбец от первой жёлтой ячейки и до последней и вставте в вводные данные в первую ячейку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</si>
</sst>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8" formatCode="#,##0.00\ &quot;₽&quot;;[Red]\-#,##0.00\ &quot;₽&quot;"/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\ &quot;₽&quot;_-;\-* #,##0\ &quot;₽&quot;_-;_-* &quot;-&quot;??\ &quot;₽&quot;_-;_-@_-"/>
    <numFmt numFmtId="165" formatCode="#,##0\ &quot;₽&quot;"/>
    <numFmt numFmtId="166" formatCode="0.0%"/>
    <numFmt numFmtId="167" formatCode="0.000000%"/>
    <numFmt numFmtId="168" formatCode="0.000000"/>
    <numFmt numFmtId="169" formatCode="0.000%"/>
    <numFmt numFmtId="170" formatCode="_-* #,##0.0\ &quot;₽&quot;_-;\-* #,##0.0\ &quot;₽&quot;_-;_-* &quot;-&quot;??\ &quot;₽&quot;_-;_-@_-"/>
    <numFmt numFmtId="171" formatCode="_-* #,##0_-;\-* #,##0_-;_-* &quot;-&quot;??_-;_-@_-"/>
    <numFmt numFmtId="172" formatCode="0.0000000%"/>
    <numFmt numFmtId="173" formatCode="0.00000%"/>
    <numFmt numFmtId="174" formatCode="0.00000000%"/>
    <numFmt numFmtId="175" formatCode="_-* #,##0.00\ _₽_-;\-* #,##0.00\ _₽_-;_-* &quot;-&quot;??\ _₽_-;_-@_-"/>
    <numFmt numFmtId="176" formatCode="0.0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0"/>
      <name val="Arial"/>
      <family val="2"/>
    </font>
    <font>
      <b/>
      <sz val="10"/>
      <color theme="1"/>
      <name val="Calibri"/>
      <family val="2"/>
      <charset val="204"/>
      <scheme val="minor"/>
    </font>
    <font>
      <u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0"/>
      <color theme="0" tint="-4.9989318521683403E-2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16"/>
      <color theme="10"/>
      <name val="Calibri"/>
      <family val="2"/>
      <charset val="204"/>
      <scheme val="minor"/>
    </font>
    <font>
      <b/>
      <sz val="11"/>
      <color theme="0"/>
      <name val="Arial"/>
      <family val="2"/>
    </font>
    <font>
      <sz val="10"/>
      <color theme="4" tint="-0.249977111117893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sz val="10"/>
      <color theme="2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trike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2" tint="-0.749992370372631"/>
      <name val="Calibri"/>
      <family val="2"/>
      <charset val="204"/>
      <scheme val="minor"/>
    </font>
    <font>
      <b/>
      <sz val="10"/>
      <color theme="2" tint="-0.749992370372631"/>
      <name val="Arial"/>
      <family val="2"/>
    </font>
    <font>
      <b/>
      <sz val="10"/>
      <color theme="0"/>
      <name val="Calibri"/>
      <family val="2"/>
      <charset val="204"/>
      <scheme val="minor"/>
    </font>
  </fonts>
  <fills count="4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3BE7B"/>
        <bgColor indexed="64"/>
      </patternFill>
    </fill>
    <fill>
      <patternFill patternType="solid">
        <fgColor rgb="FFFCBF7B"/>
        <bgColor indexed="64"/>
      </patternFill>
    </fill>
    <fill>
      <patternFill patternType="solid">
        <fgColor rgb="FFFDCC7E"/>
        <bgColor indexed="64"/>
      </patternFill>
    </fill>
    <fill>
      <patternFill patternType="solid">
        <fgColor rgb="FFF8696B"/>
        <bgColor indexed="64"/>
      </patternFill>
    </fill>
    <fill>
      <patternFill patternType="solid">
        <fgColor rgb="FFFDC87D"/>
        <bgColor indexed="64"/>
      </patternFill>
    </fill>
    <fill>
      <patternFill patternType="solid">
        <fgColor rgb="FFF7E984"/>
        <bgColor indexed="64"/>
      </patternFill>
    </fill>
    <fill>
      <patternFill patternType="solid">
        <fgColor rgb="FFFEEB84"/>
        <bgColor indexed="64"/>
      </patternFill>
    </fill>
    <fill>
      <patternFill patternType="solid">
        <fgColor rgb="FFFDD57F"/>
        <bgColor indexed="64"/>
      </patternFill>
    </fill>
    <fill>
      <patternFill patternType="solid">
        <fgColor rgb="FFFEE683"/>
        <bgColor indexed="64"/>
      </patternFill>
    </fill>
    <fill>
      <patternFill patternType="solid">
        <fgColor rgb="FFFEDF81"/>
        <bgColor indexed="64"/>
      </patternFill>
    </fill>
    <fill>
      <patternFill patternType="solid">
        <fgColor rgb="FFFDD37F"/>
        <bgColor indexed="64"/>
      </patternFill>
    </fill>
    <fill>
      <patternFill patternType="solid">
        <fgColor rgb="FFFA9F75"/>
        <bgColor indexed="64"/>
      </patternFill>
    </fill>
    <fill>
      <patternFill patternType="solid">
        <fgColor rgb="FFFCEA84"/>
        <bgColor indexed="64"/>
      </patternFill>
    </fill>
    <fill>
      <patternFill patternType="solid">
        <fgColor rgb="FFFEE783"/>
        <bgColor indexed="64"/>
      </patternFill>
    </fill>
    <fill>
      <patternFill patternType="solid">
        <fgColor rgb="FFFEDB81"/>
        <bgColor indexed="64"/>
      </patternFill>
    </fill>
    <fill>
      <patternFill patternType="solid">
        <fgColor rgb="FFFBA776"/>
        <bgColor indexed="64"/>
      </patternFill>
    </fill>
    <fill>
      <patternFill patternType="solid">
        <fgColor rgb="FFF8716C"/>
        <bgColor indexed="64"/>
      </patternFill>
    </fill>
    <fill>
      <patternFill patternType="solid">
        <fgColor rgb="FFEDE683"/>
        <bgColor indexed="64"/>
      </patternFill>
    </fill>
    <fill>
      <patternFill patternType="solid">
        <fgColor rgb="FFF4E884"/>
        <bgColor indexed="64"/>
      </patternFill>
    </fill>
    <fill>
      <patternFill patternType="solid">
        <fgColor rgb="FFFEE983"/>
        <bgColor indexed="64"/>
      </patternFill>
    </fill>
    <fill>
      <patternFill patternType="solid">
        <fgColor rgb="FFFCB579"/>
        <bgColor indexed="64"/>
      </patternFill>
    </fill>
    <fill>
      <patternFill patternType="solid">
        <fgColor rgb="FFF97F6F"/>
        <bgColor indexed="64"/>
      </patternFill>
    </fill>
    <fill>
      <patternFill patternType="solid">
        <fgColor rgb="FFD3DF82"/>
        <bgColor indexed="64"/>
      </patternFill>
    </fill>
    <fill>
      <patternFill patternType="solid">
        <fgColor rgb="FFDAE182"/>
        <bgColor indexed="64"/>
      </patternFill>
    </fill>
    <fill>
      <patternFill patternType="solid">
        <fgColor rgb="FFE7E583"/>
        <bgColor indexed="64"/>
      </patternFill>
    </fill>
    <fill>
      <patternFill patternType="solid">
        <fgColor rgb="FFFA9673"/>
        <bgColor indexed="64"/>
      </patternFill>
    </fill>
    <fill>
      <patternFill patternType="solid">
        <fgColor rgb="FFA9D27F"/>
        <bgColor indexed="64"/>
      </patternFill>
    </fill>
    <fill>
      <patternFill patternType="solid">
        <fgColor rgb="FFB0D580"/>
        <bgColor indexed="64"/>
      </patternFill>
    </fill>
    <fill>
      <patternFill patternType="solid">
        <fgColor rgb="FFBDD881"/>
        <bgColor indexed="64"/>
      </patternFill>
    </fill>
    <fill>
      <patternFill patternType="solid">
        <fgColor rgb="FFFCBC7B"/>
        <bgColor indexed="64"/>
      </patternFill>
    </fill>
    <fill>
      <patternFill patternType="solid">
        <fgColor rgb="FF6BC17C"/>
        <bgColor indexed="64"/>
      </patternFill>
    </fill>
    <fill>
      <patternFill patternType="solid">
        <fgColor rgb="FF77C47D"/>
        <bgColor indexed="64"/>
      </patternFill>
    </fill>
    <fill>
      <patternFill patternType="solid">
        <fgColor rgb="FF8DCA7E"/>
        <bgColor indexed="64"/>
      </patternFill>
    </fill>
    <fill>
      <patternFill patternType="solid">
        <fgColor rgb="FFB1D580"/>
        <bgColor indexed="64"/>
      </patternFill>
    </fill>
    <fill>
      <patternFill patternType="solid">
        <fgColor rgb="FFEEE68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336">
    <xf numFmtId="0" fontId="0" fillId="0" borderId="0" xfId="0"/>
    <xf numFmtId="0" fontId="2" fillId="0" borderId="1" xfId="0" applyFont="1" applyBorder="1" applyAlignment="1">
      <alignment vertical="top" wrapText="1"/>
    </xf>
    <xf numFmtId="0" fontId="5" fillId="0" borderId="0" xfId="0" applyFont="1"/>
    <xf numFmtId="0" fontId="5" fillId="0" borderId="0" xfId="0" applyFont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0" fontId="4" fillId="0" borderId="0" xfId="3"/>
    <xf numFmtId="0" fontId="5" fillId="0" borderId="5" xfId="0" applyFont="1" applyBorder="1"/>
    <xf numFmtId="0" fontId="5" fillId="0" borderId="6" xfId="0" applyFont="1" applyBorder="1" applyAlignment="1">
      <alignment horizontal="right" vertical="center"/>
    </xf>
    <xf numFmtId="0" fontId="7" fillId="3" borderId="5" xfId="0" applyFont="1" applyFill="1" applyBorder="1"/>
    <xf numFmtId="0" fontId="8" fillId="3" borderId="0" xfId="0" applyFont="1" applyFill="1" applyAlignment="1">
      <alignment horizontal="right" vertical="center"/>
    </xf>
    <xf numFmtId="0" fontId="8" fillId="3" borderId="6" xfId="0" applyFont="1" applyFill="1" applyBorder="1" applyAlignment="1">
      <alignment horizontal="right" vertical="center"/>
    </xf>
    <xf numFmtId="164" fontId="5" fillId="0" borderId="0" xfId="0" applyNumberFormat="1" applyFont="1"/>
    <xf numFmtId="0" fontId="5" fillId="5" borderId="0" xfId="0" applyFont="1" applyFill="1"/>
    <xf numFmtId="0" fontId="7" fillId="0" borderId="5" xfId="0" applyFont="1" applyBorder="1"/>
    <xf numFmtId="0" fontId="7" fillId="0" borderId="0" xfId="0" applyFont="1" applyAlignment="1">
      <alignment horizontal="right" vertical="center"/>
    </xf>
    <xf numFmtId="164" fontId="7" fillId="5" borderId="6" xfId="1" applyNumberFormat="1" applyFont="1" applyFill="1" applyBorder="1" applyAlignment="1">
      <alignment horizontal="right" vertical="center"/>
    </xf>
    <xf numFmtId="164" fontId="7" fillId="6" borderId="0" xfId="1" applyNumberFormat="1" applyFont="1" applyFill="1" applyBorder="1" applyAlignment="1">
      <alignment horizontal="right" vertical="center"/>
    </xf>
    <xf numFmtId="164" fontId="7" fillId="6" borderId="6" xfId="1" applyNumberFormat="1" applyFont="1" applyFill="1" applyBorder="1" applyAlignment="1">
      <alignment horizontal="right" vertical="center"/>
    </xf>
    <xf numFmtId="0" fontId="5" fillId="0" borderId="8" xfId="0" applyFont="1" applyBorder="1"/>
    <xf numFmtId="0" fontId="5" fillId="7" borderId="0" xfId="0" applyFont="1" applyFill="1"/>
    <xf numFmtId="0" fontId="7" fillId="0" borderId="0" xfId="0" applyFont="1" applyAlignment="1">
      <alignment horizontal="right"/>
    </xf>
    <xf numFmtId="0" fontId="7" fillId="5" borderId="6" xfId="0" applyFont="1" applyFill="1" applyBorder="1"/>
    <xf numFmtId="165" fontId="5" fillId="0" borderId="0" xfId="0" applyNumberFormat="1" applyFont="1"/>
    <xf numFmtId="0" fontId="5" fillId="0" borderId="9" xfId="0" applyFont="1" applyBorder="1"/>
    <xf numFmtId="164" fontId="7" fillId="6" borderId="11" xfId="1" applyNumberFormat="1" applyFont="1" applyFill="1" applyBorder="1" applyAlignment="1">
      <alignment horizontal="right" vertical="center"/>
    </xf>
    <xf numFmtId="10" fontId="7" fillId="5" borderId="6" xfId="0" applyNumberFormat="1" applyFont="1" applyFill="1" applyBorder="1" applyAlignment="1">
      <alignment horizontal="right" vertical="center"/>
    </xf>
    <xf numFmtId="0" fontId="7" fillId="4" borderId="2" xfId="0" applyFont="1" applyFill="1" applyBorder="1"/>
    <xf numFmtId="0" fontId="8" fillId="4" borderId="4" xfId="0" applyFont="1" applyFill="1" applyBorder="1"/>
    <xf numFmtId="0" fontId="5" fillId="0" borderId="12" xfId="0" applyFont="1" applyBorder="1" applyAlignment="1">
      <alignment horizontal="right" vertical="center"/>
    </xf>
    <xf numFmtId="166" fontId="5" fillId="5" borderId="6" xfId="0" applyNumberFormat="1" applyFont="1" applyFill="1" applyBorder="1" applyAlignment="1">
      <alignment horizontal="right" vertical="center"/>
    </xf>
    <xf numFmtId="164" fontId="9" fillId="0" borderId="6" xfId="0" applyNumberFormat="1" applyFont="1" applyBorder="1" applyAlignment="1">
      <alignment horizontal="right" vertical="center"/>
    </xf>
    <xf numFmtId="0" fontId="5" fillId="4" borderId="2" xfId="0" applyFont="1" applyFill="1" applyBorder="1"/>
    <xf numFmtId="0" fontId="5" fillId="4" borderId="3" xfId="0" applyFont="1" applyFill="1" applyBorder="1"/>
    <xf numFmtId="0" fontId="5" fillId="4" borderId="4" xfId="0" applyFont="1" applyFill="1" applyBorder="1"/>
    <xf numFmtId="164" fontId="7" fillId="0" borderId="6" xfId="0" applyNumberFormat="1" applyFont="1" applyBorder="1" applyAlignment="1">
      <alignment horizontal="right" vertical="center"/>
    </xf>
    <xf numFmtId="44" fontId="5" fillId="0" borderId="0" xfId="0" applyNumberFormat="1" applyFont="1"/>
    <xf numFmtId="10" fontId="5" fillId="5" borderId="6" xfId="0" applyNumberFormat="1" applyFont="1" applyFill="1" applyBorder="1" applyAlignment="1">
      <alignment horizontal="right" vertical="center"/>
    </xf>
    <xf numFmtId="0" fontId="5" fillId="5" borderId="6" xfId="0" applyFont="1" applyFill="1" applyBorder="1" applyAlignment="1">
      <alignment horizontal="right" vertical="center"/>
    </xf>
    <xf numFmtId="44" fontId="5" fillId="6" borderId="6" xfId="0" applyNumberFormat="1" applyFont="1" applyFill="1" applyBorder="1" applyAlignment="1">
      <alignment horizontal="right" vertical="center"/>
    </xf>
    <xf numFmtId="0" fontId="11" fillId="2" borderId="13" xfId="0" applyFont="1" applyFill="1" applyBorder="1" applyAlignment="1">
      <alignment vertical="center"/>
    </xf>
    <xf numFmtId="9" fontId="5" fillId="5" borderId="6" xfId="0" applyNumberFormat="1" applyFont="1" applyFill="1" applyBorder="1" applyAlignment="1">
      <alignment horizontal="right" vertical="center"/>
    </xf>
    <xf numFmtId="164" fontId="5" fillId="5" borderId="6" xfId="1" applyNumberFormat="1" applyFont="1" applyFill="1" applyBorder="1" applyAlignment="1">
      <alignment horizontal="right" vertical="center"/>
    </xf>
    <xf numFmtId="164" fontId="5" fillId="0" borderId="6" xfId="0" applyNumberFormat="1" applyFont="1" applyBorder="1" applyAlignment="1">
      <alignment horizontal="right" vertical="center"/>
    </xf>
    <xf numFmtId="10" fontId="7" fillId="5" borderId="6" xfId="1" applyNumberFormat="1" applyFont="1" applyFill="1" applyBorder="1" applyAlignment="1">
      <alignment horizontal="right" vertical="center"/>
    </xf>
    <xf numFmtId="9" fontId="5" fillId="6" borderId="12" xfId="0" applyNumberFormat="1" applyFont="1" applyFill="1" applyBorder="1" applyAlignment="1">
      <alignment horizontal="right" vertical="center"/>
    </xf>
    <xf numFmtId="0" fontId="5" fillId="6" borderId="0" xfId="0" applyFont="1" applyFill="1"/>
    <xf numFmtId="165" fontId="7" fillId="0" borderId="6" xfId="0" applyNumberFormat="1" applyFont="1" applyBorder="1" applyAlignment="1">
      <alignment horizontal="right" vertical="center"/>
    </xf>
    <xf numFmtId="165" fontId="7" fillId="0" borderId="12" xfId="0" applyNumberFormat="1" applyFont="1" applyBorder="1" applyAlignment="1">
      <alignment horizontal="right" vertical="center"/>
    </xf>
    <xf numFmtId="164" fontId="7" fillId="5" borderId="6" xfId="0" applyNumberFormat="1" applyFont="1" applyFill="1" applyBorder="1" applyAlignment="1">
      <alignment horizontal="right" vertical="center"/>
    </xf>
    <xf numFmtId="167" fontId="5" fillId="0" borderId="0" xfId="2" applyNumberFormat="1" applyFont="1"/>
    <xf numFmtId="10" fontId="5" fillId="0" borderId="6" xfId="2" applyNumberFormat="1" applyFont="1" applyBorder="1" applyAlignment="1">
      <alignment horizontal="right" vertical="center"/>
    </xf>
    <xf numFmtId="164" fontId="5" fillId="5" borderId="6" xfId="0" applyNumberFormat="1" applyFont="1" applyFill="1" applyBorder="1" applyAlignment="1">
      <alignment horizontal="right" vertical="center"/>
    </xf>
    <xf numFmtId="164" fontId="5" fillId="6" borderId="6" xfId="0" applyNumberFormat="1" applyFont="1" applyFill="1" applyBorder="1" applyAlignment="1">
      <alignment horizontal="right" vertical="center"/>
    </xf>
    <xf numFmtId="0" fontId="7" fillId="8" borderId="5" xfId="0" applyFont="1" applyFill="1" applyBorder="1"/>
    <xf numFmtId="0" fontId="5" fillId="0" borderId="10" xfId="0" applyFont="1" applyBorder="1" applyAlignment="1">
      <alignment horizontal="right" vertical="center"/>
    </xf>
    <xf numFmtId="10" fontId="5" fillId="5" borderId="11" xfId="0" applyNumberFormat="1" applyFont="1" applyFill="1" applyBorder="1" applyAlignment="1">
      <alignment horizontal="right" vertical="center"/>
    </xf>
    <xf numFmtId="2" fontId="12" fillId="8" borderId="0" xfId="1" applyNumberFormat="1" applyFont="1" applyFill="1"/>
    <xf numFmtId="0" fontId="12" fillId="8" borderId="0" xfId="0" applyFont="1" applyFill="1"/>
    <xf numFmtId="164" fontId="5" fillId="0" borderId="0" xfId="0" applyNumberFormat="1" applyFont="1" applyAlignment="1">
      <alignment horizontal="right" vertical="center"/>
    </xf>
    <xf numFmtId="42" fontId="5" fillId="0" borderId="0" xfId="0" applyNumberFormat="1" applyFont="1"/>
    <xf numFmtId="0" fontId="7" fillId="0" borderId="15" xfId="0" applyFont="1" applyBorder="1"/>
    <xf numFmtId="42" fontId="5" fillId="0" borderId="0" xfId="0" applyNumberFormat="1" applyFont="1" applyAlignment="1">
      <alignment horizontal="right" vertical="center"/>
    </xf>
    <xf numFmtId="9" fontId="5" fillId="0" borderId="0" xfId="0" applyNumberFormat="1" applyFont="1"/>
    <xf numFmtId="0" fontId="14" fillId="0" borderId="0" xfId="3" applyFont="1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0" fillId="6" borderId="0" xfId="0" applyFill="1"/>
    <xf numFmtId="0" fontId="15" fillId="2" borderId="2" xfId="0" applyFont="1" applyFill="1" applyBorder="1"/>
    <xf numFmtId="0" fontId="5" fillId="2" borderId="4" xfId="0" applyFont="1" applyFill="1" applyBorder="1" applyAlignment="1">
      <alignment vertical="center"/>
    </xf>
    <xf numFmtId="0" fontId="7" fillId="4" borderId="5" xfId="0" applyFont="1" applyFill="1" applyBorder="1" applyAlignment="1">
      <alignment vertical="center"/>
    </xf>
    <xf numFmtId="0" fontId="5" fillId="4" borderId="6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left" vertical="center" wrapText="1"/>
    </xf>
    <xf numFmtId="0" fontId="5" fillId="0" borderId="9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right" vertical="center"/>
    </xf>
    <xf numFmtId="0" fontId="0" fillId="2" borderId="1" xfId="0" applyFill="1" applyBorder="1"/>
    <xf numFmtId="0" fontId="8" fillId="4" borderId="3" xfId="0" applyFont="1" applyFill="1" applyBorder="1" applyAlignment="1">
      <alignment vertical="center"/>
    </xf>
    <xf numFmtId="0" fontId="5" fillId="6" borderId="5" xfId="0" applyFon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6" borderId="6" xfId="0" applyFont="1" applyFill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164" fontId="5" fillId="6" borderId="10" xfId="1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/>
    </xf>
    <xf numFmtId="0" fontId="5" fillId="2" borderId="0" xfId="0" applyFont="1" applyFill="1"/>
    <xf numFmtId="0" fontId="16" fillId="0" borderId="0" xfId="0" applyFont="1"/>
    <xf numFmtId="0" fontId="7" fillId="9" borderId="0" xfId="0" applyFont="1" applyFill="1"/>
    <xf numFmtId="0" fontId="8" fillId="9" borderId="0" xfId="0" applyFont="1" applyFill="1"/>
    <xf numFmtId="164" fontId="5" fillId="0" borderId="0" xfId="2" applyNumberFormat="1" applyFont="1"/>
    <xf numFmtId="0" fontId="7" fillId="0" borderId="0" xfId="0" applyFont="1"/>
    <xf numFmtId="0" fontId="7" fillId="0" borderId="15" xfId="0" applyFont="1" applyBorder="1" applyAlignment="1">
      <alignment horizontal="right" vertical="center"/>
    </xf>
    <xf numFmtId="164" fontId="7" fillId="0" borderId="15" xfId="0" applyNumberFormat="1" applyFont="1" applyBorder="1"/>
    <xf numFmtId="0" fontId="17" fillId="0" borderId="0" xfId="0" applyFont="1"/>
    <xf numFmtId="164" fontId="17" fillId="0" borderId="0" xfId="0" applyNumberFormat="1" applyFont="1"/>
    <xf numFmtId="10" fontId="17" fillId="0" borderId="0" xfId="2" applyNumberFormat="1" applyFont="1"/>
    <xf numFmtId="164" fontId="5" fillId="0" borderId="0" xfId="1" applyNumberFormat="1" applyFont="1"/>
    <xf numFmtId="0" fontId="5" fillId="0" borderId="16" xfId="0" applyFont="1" applyBorder="1"/>
    <xf numFmtId="164" fontId="5" fillId="0" borderId="16" xfId="0" applyNumberFormat="1" applyFont="1" applyBorder="1"/>
    <xf numFmtId="0" fontId="7" fillId="0" borderId="16" xfId="0" applyFont="1" applyBorder="1"/>
    <xf numFmtId="164" fontId="7" fillId="0" borderId="16" xfId="0" applyNumberFormat="1" applyFont="1" applyBorder="1"/>
    <xf numFmtId="42" fontId="7" fillId="0" borderId="15" xfId="0" applyNumberFormat="1" applyFont="1" applyBorder="1"/>
    <xf numFmtId="42" fontId="17" fillId="0" borderId="0" xfId="0" applyNumberFormat="1" applyFont="1"/>
    <xf numFmtId="166" fontId="17" fillId="0" borderId="0" xfId="2" applyNumberFormat="1" applyFont="1" applyBorder="1"/>
    <xf numFmtId="168" fontId="6" fillId="2" borderId="0" xfId="0" applyNumberFormat="1" applyFont="1" applyFill="1" applyAlignment="1">
      <alignment vertical="center"/>
    </xf>
    <xf numFmtId="10" fontId="5" fillId="0" borderId="0" xfId="0" applyNumberFormat="1" applyFont="1"/>
    <xf numFmtId="169" fontId="5" fillId="0" borderId="0" xfId="2" applyNumberFormat="1" applyFont="1"/>
    <xf numFmtId="164" fontId="7" fillId="0" borderId="0" xfId="0" applyNumberFormat="1" applyFont="1"/>
    <xf numFmtId="0" fontId="7" fillId="9" borderId="7" xfId="0" applyFont="1" applyFill="1" applyBorder="1"/>
    <xf numFmtId="0" fontId="7" fillId="6" borderId="0" xfId="0" applyFont="1" applyFill="1"/>
    <xf numFmtId="0" fontId="7" fillId="9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169" fontId="5" fillId="0" borderId="0" xfId="0" applyNumberFormat="1" applyFont="1"/>
    <xf numFmtId="166" fontId="5" fillId="0" borderId="0" xfId="2" applyNumberFormat="1" applyFont="1"/>
    <xf numFmtId="0" fontId="0" fillId="2" borderId="3" xfId="0" applyFill="1" applyBorder="1"/>
    <xf numFmtId="0" fontId="0" fillId="2" borderId="4" xfId="0" applyFill="1" applyBorder="1"/>
    <xf numFmtId="0" fontId="0" fillId="0" borderId="5" xfId="0" applyBorder="1"/>
    <xf numFmtId="164" fontId="7" fillId="5" borderId="17" xfId="0" applyNumberFormat="1" applyFont="1" applyFill="1" applyBorder="1"/>
    <xf numFmtId="0" fontId="0" fillId="0" borderId="9" xfId="0" applyBorder="1"/>
    <xf numFmtId="0" fontId="0" fillId="0" borderId="10" xfId="0" applyBorder="1"/>
    <xf numFmtId="164" fontId="7" fillId="5" borderId="11" xfId="0" applyNumberFormat="1" applyFont="1" applyFill="1" applyBorder="1"/>
    <xf numFmtId="0" fontId="18" fillId="4" borderId="0" xfId="0" applyFont="1" applyFill="1"/>
    <xf numFmtId="164" fontId="18" fillId="4" borderId="0" xfId="0" applyNumberFormat="1" applyFont="1" applyFill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164" fontId="5" fillId="0" borderId="6" xfId="0" applyNumberFormat="1" applyFont="1" applyBorder="1"/>
    <xf numFmtId="164" fontId="5" fillId="0" borderId="9" xfId="0" applyNumberFormat="1" applyFont="1" applyBorder="1"/>
    <xf numFmtId="164" fontId="5" fillId="0" borderId="10" xfId="0" applyNumberFormat="1" applyFont="1" applyBorder="1"/>
    <xf numFmtId="164" fontId="5" fillId="0" borderId="11" xfId="0" applyNumberFormat="1" applyFont="1" applyBorder="1"/>
    <xf numFmtId="10" fontId="5" fillId="0" borderId="7" xfId="0" applyNumberFormat="1" applyFont="1" applyBorder="1"/>
    <xf numFmtId="164" fontId="5" fillId="0" borderId="19" xfId="0" applyNumberFormat="1" applyFont="1" applyBorder="1"/>
    <xf numFmtId="10" fontId="5" fillId="0" borderId="18" xfId="0" applyNumberFormat="1" applyFont="1" applyBorder="1"/>
    <xf numFmtId="0" fontId="5" fillId="0" borderId="3" xfId="0" applyFont="1" applyBorder="1"/>
    <xf numFmtId="10" fontId="5" fillId="0" borderId="20" xfId="0" applyNumberFormat="1" applyFont="1" applyBorder="1"/>
    <xf numFmtId="10" fontId="5" fillId="0" borderId="21" xfId="0" applyNumberFormat="1" applyFont="1" applyBorder="1"/>
    <xf numFmtId="0" fontId="7" fillId="0" borderId="5" xfId="0" applyFont="1" applyBorder="1" applyAlignment="1">
      <alignment horizontal="right" vertical="center"/>
    </xf>
    <xf numFmtId="0" fontId="5" fillId="0" borderId="24" xfId="0" applyFont="1" applyBorder="1"/>
    <xf numFmtId="164" fontId="5" fillId="0" borderId="8" xfId="0" applyNumberFormat="1" applyFont="1" applyBorder="1"/>
    <xf numFmtId="10" fontId="5" fillId="0" borderId="0" xfId="2" applyNumberFormat="1" applyFont="1"/>
    <xf numFmtId="170" fontId="5" fillId="0" borderId="0" xfId="0" applyNumberFormat="1" applyFont="1"/>
    <xf numFmtId="164" fontId="5" fillId="10" borderId="8" xfId="0" applyNumberFormat="1" applyFont="1" applyFill="1" applyBorder="1"/>
    <xf numFmtId="10" fontId="5" fillId="0" borderId="10" xfId="0" applyNumberFormat="1" applyFont="1" applyBorder="1"/>
    <xf numFmtId="10" fontId="5" fillId="0" borderId="6" xfId="0" applyNumberFormat="1" applyFont="1" applyBorder="1"/>
    <xf numFmtId="164" fontId="5" fillId="11" borderId="8" xfId="0" applyNumberFormat="1" applyFont="1" applyFill="1" applyBorder="1"/>
    <xf numFmtId="10" fontId="5" fillId="0" borderId="26" xfId="0" applyNumberFormat="1" applyFont="1" applyBorder="1"/>
    <xf numFmtId="164" fontId="5" fillId="12" borderId="8" xfId="0" applyNumberFormat="1" applyFont="1" applyFill="1" applyBorder="1"/>
    <xf numFmtId="9" fontId="5" fillId="0" borderId="0" xfId="2" applyFont="1"/>
    <xf numFmtId="171" fontId="5" fillId="0" borderId="0" xfId="1" applyNumberFormat="1" applyFont="1"/>
    <xf numFmtId="164" fontId="5" fillId="10" borderId="27" xfId="0" applyNumberFormat="1" applyFont="1" applyFill="1" applyBorder="1"/>
    <xf numFmtId="164" fontId="5" fillId="12" borderId="27" xfId="0" applyNumberFormat="1" applyFont="1" applyFill="1" applyBorder="1"/>
    <xf numFmtId="164" fontId="5" fillId="12" borderId="28" xfId="0" applyNumberFormat="1" applyFont="1" applyFill="1" applyBorder="1"/>
    <xf numFmtId="164" fontId="5" fillId="11" borderId="28" xfId="0" applyNumberFormat="1" applyFont="1" applyFill="1" applyBorder="1"/>
    <xf numFmtId="164" fontId="5" fillId="10" borderId="28" xfId="0" applyNumberFormat="1" applyFont="1" applyFill="1" applyBorder="1"/>
    <xf numFmtId="164" fontId="5" fillId="10" borderId="29" xfId="0" applyNumberFormat="1" applyFont="1" applyFill="1" applyBorder="1"/>
    <xf numFmtId="164" fontId="5" fillId="12" borderId="29" xfId="0" applyNumberFormat="1" applyFont="1" applyFill="1" applyBorder="1"/>
    <xf numFmtId="164" fontId="5" fillId="12" borderId="30" xfId="0" applyNumberFormat="1" applyFont="1" applyFill="1" applyBorder="1"/>
    <xf numFmtId="164" fontId="5" fillId="10" borderId="31" xfId="0" applyNumberFormat="1" applyFont="1" applyFill="1" applyBorder="1"/>
    <xf numFmtId="164" fontId="5" fillId="11" borderId="32" xfId="0" applyNumberFormat="1" applyFont="1" applyFill="1" applyBorder="1"/>
    <xf numFmtId="164" fontId="5" fillId="10" borderId="33" xfId="0" applyNumberFormat="1" applyFont="1" applyFill="1" applyBorder="1"/>
    <xf numFmtId="164" fontId="5" fillId="12" borderId="34" xfId="0" applyNumberFormat="1" applyFont="1" applyFill="1" applyBorder="1"/>
    <xf numFmtId="164" fontId="5" fillId="10" borderId="12" xfId="0" applyNumberFormat="1" applyFont="1" applyFill="1" applyBorder="1"/>
    <xf numFmtId="164" fontId="5" fillId="12" borderId="35" xfId="0" applyNumberFormat="1" applyFont="1" applyFill="1" applyBorder="1"/>
    <xf numFmtId="164" fontId="5" fillId="12" borderId="36" xfId="0" applyNumberFormat="1" applyFont="1" applyFill="1" applyBorder="1"/>
    <xf numFmtId="164" fontId="5" fillId="12" borderId="37" xfId="0" applyNumberFormat="1" applyFont="1" applyFill="1" applyBorder="1"/>
    <xf numFmtId="171" fontId="5" fillId="0" borderId="0" xfId="1" applyNumberFormat="1" applyFont="1" applyBorder="1"/>
    <xf numFmtId="171" fontId="5" fillId="0" borderId="6" xfId="1" applyNumberFormat="1" applyFont="1" applyBorder="1"/>
    <xf numFmtId="171" fontId="5" fillId="0" borderId="10" xfId="1" applyNumberFormat="1" applyFont="1" applyBorder="1"/>
    <xf numFmtId="171" fontId="5" fillId="0" borderId="11" xfId="1" applyNumberFormat="1" applyFont="1" applyBorder="1"/>
    <xf numFmtId="9" fontId="5" fillId="0" borderId="3" xfId="2" applyFont="1" applyBorder="1"/>
    <xf numFmtId="9" fontId="5" fillId="0" borderId="4" xfId="0" applyNumberFormat="1" applyFont="1" applyBorder="1"/>
    <xf numFmtId="9" fontId="5" fillId="0" borderId="5" xfId="0" applyNumberFormat="1" applyFont="1" applyBorder="1"/>
    <xf numFmtId="9" fontId="5" fillId="0" borderId="9" xfId="0" applyNumberFormat="1" applyFont="1" applyBorder="1"/>
    <xf numFmtId="3" fontId="19" fillId="14" borderId="0" xfId="0" applyNumberFormat="1" applyFont="1" applyFill="1" applyAlignment="1">
      <alignment vertical="center"/>
    </xf>
    <xf numFmtId="3" fontId="19" fillId="15" borderId="0" xfId="0" applyNumberFormat="1" applyFont="1" applyFill="1" applyAlignment="1">
      <alignment vertical="center"/>
    </xf>
    <xf numFmtId="3" fontId="19" fillId="17" borderId="0" xfId="0" applyNumberFormat="1" applyFont="1" applyFill="1" applyAlignment="1">
      <alignment vertical="center"/>
    </xf>
    <xf numFmtId="3" fontId="19" fillId="16" borderId="0" xfId="0" applyNumberFormat="1" applyFont="1" applyFill="1" applyAlignment="1">
      <alignment vertical="center"/>
    </xf>
    <xf numFmtId="3" fontId="19" fillId="18" borderId="0" xfId="0" applyNumberFormat="1" applyFont="1" applyFill="1" applyAlignment="1">
      <alignment vertical="center"/>
    </xf>
    <xf numFmtId="3" fontId="19" fillId="19" borderId="0" xfId="0" applyNumberFormat="1" applyFont="1" applyFill="1" applyAlignment="1">
      <alignment vertical="center"/>
    </xf>
    <xf numFmtId="3" fontId="19" fillId="20" borderId="0" xfId="0" applyNumberFormat="1" applyFont="1" applyFill="1" applyAlignment="1">
      <alignment vertical="center"/>
    </xf>
    <xf numFmtId="3" fontId="19" fillId="13" borderId="0" xfId="0" applyNumberFormat="1" applyFont="1" applyFill="1" applyAlignment="1">
      <alignment vertical="center"/>
    </xf>
    <xf numFmtId="3" fontId="19" fillId="21" borderId="0" xfId="0" applyNumberFormat="1" applyFont="1" applyFill="1" applyAlignment="1">
      <alignment vertical="center"/>
    </xf>
    <xf numFmtId="3" fontId="19" fillId="22" borderId="0" xfId="0" applyNumberFormat="1" applyFont="1" applyFill="1" applyAlignment="1">
      <alignment vertical="center"/>
    </xf>
    <xf numFmtId="3" fontId="19" fillId="23" borderId="0" xfId="0" applyNumberFormat="1" applyFont="1" applyFill="1" applyAlignment="1">
      <alignment vertical="center"/>
    </xf>
    <xf numFmtId="3" fontId="19" fillId="24" borderId="0" xfId="0" applyNumberFormat="1" applyFont="1" applyFill="1" applyAlignment="1">
      <alignment vertical="center"/>
    </xf>
    <xf numFmtId="3" fontId="19" fillId="25" borderId="0" xfId="0" applyNumberFormat="1" applyFont="1" applyFill="1" applyAlignment="1">
      <alignment vertical="center"/>
    </xf>
    <xf numFmtId="3" fontId="19" fillId="26" borderId="0" xfId="0" applyNumberFormat="1" applyFont="1" applyFill="1" applyAlignment="1">
      <alignment vertical="center"/>
    </xf>
    <xf numFmtId="3" fontId="19" fillId="27" borderId="0" xfId="0" applyNumberFormat="1" applyFont="1" applyFill="1" applyAlignment="1">
      <alignment vertical="center"/>
    </xf>
    <xf numFmtId="3" fontId="19" fillId="28" borderId="0" xfId="0" applyNumberFormat="1" applyFont="1" applyFill="1" applyAlignment="1">
      <alignment vertical="center"/>
    </xf>
    <xf numFmtId="3" fontId="19" fillId="29" borderId="0" xfId="0" applyNumberFormat="1" applyFont="1" applyFill="1" applyAlignment="1">
      <alignment vertical="center"/>
    </xf>
    <xf numFmtId="3" fontId="19" fillId="30" borderId="0" xfId="0" applyNumberFormat="1" applyFont="1" applyFill="1" applyAlignment="1">
      <alignment vertical="center"/>
    </xf>
    <xf numFmtId="3" fontId="19" fillId="31" borderId="0" xfId="0" applyNumberFormat="1" applyFont="1" applyFill="1" applyAlignment="1">
      <alignment vertical="center"/>
    </xf>
    <xf numFmtId="3" fontId="19" fillId="32" borderId="0" xfId="0" applyNumberFormat="1" applyFont="1" applyFill="1" applyAlignment="1">
      <alignment vertical="center"/>
    </xf>
    <xf numFmtId="3" fontId="19" fillId="33" borderId="0" xfId="0" applyNumberFormat="1" applyFont="1" applyFill="1" applyAlignment="1">
      <alignment vertical="center"/>
    </xf>
    <xf numFmtId="3" fontId="19" fillId="34" borderId="0" xfId="0" applyNumberFormat="1" applyFont="1" applyFill="1" applyAlignment="1">
      <alignment vertical="center"/>
    </xf>
    <xf numFmtId="3" fontId="19" fillId="35" borderId="0" xfId="0" applyNumberFormat="1" applyFont="1" applyFill="1" applyAlignment="1">
      <alignment vertical="center"/>
    </xf>
    <xf numFmtId="3" fontId="19" fillId="36" borderId="0" xfId="0" applyNumberFormat="1" applyFont="1" applyFill="1" applyAlignment="1">
      <alignment vertical="center"/>
    </xf>
    <xf numFmtId="3" fontId="19" fillId="37" borderId="0" xfId="0" applyNumberFormat="1" applyFont="1" applyFill="1" applyAlignment="1">
      <alignment vertical="center"/>
    </xf>
    <xf numFmtId="3" fontId="19" fillId="38" borderId="0" xfId="0" applyNumberFormat="1" applyFont="1" applyFill="1" applyAlignment="1">
      <alignment vertical="center"/>
    </xf>
    <xf numFmtId="3" fontId="19" fillId="39" borderId="0" xfId="0" applyNumberFormat="1" applyFont="1" applyFill="1" applyAlignment="1">
      <alignment vertical="center"/>
    </xf>
    <xf numFmtId="3" fontId="19" fillId="40" borderId="0" xfId="0" applyNumberFormat="1" applyFont="1" applyFill="1" applyAlignment="1">
      <alignment vertical="center"/>
    </xf>
    <xf numFmtId="3" fontId="19" fillId="41" borderId="0" xfId="0" applyNumberFormat="1" applyFont="1" applyFill="1" applyAlignment="1">
      <alignment vertical="center"/>
    </xf>
    <xf numFmtId="3" fontId="19" fillId="42" borderId="0" xfId="0" applyNumberFormat="1" applyFont="1" applyFill="1" applyAlignment="1">
      <alignment vertical="center"/>
    </xf>
    <xf numFmtId="3" fontId="19" fillId="43" borderId="0" xfId="0" applyNumberFormat="1" applyFont="1" applyFill="1" applyAlignment="1">
      <alignment vertical="center"/>
    </xf>
    <xf numFmtId="3" fontId="19" fillId="44" borderId="0" xfId="0" applyNumberFormat="1" applyFont="1" applyFill="1" applyAlignment="1">
      <alignment vertical="center"/>
    </xf>
    <xf numFmtId="3" fontId="19" fillId="45" borderId="0" xfId="0" applyNumberFormat="1" applyFont="1" applyFill="1" applyAlignment="1">
      <alignment vertical="center"/>
    </xf>
    <xf numFmtId="3" fontId="19" fillId="46" borderId="0" xfId="0" applyNumberFormat="1" applyFont="1" applyFill="1" applyAlignment="1">
      <alignment vertical="center"/>
    </xf>
    <xf numFmtId="3" fontId="19" fillId="47" borderId="0" xfId="0" applyNumberFormat="1" applyFont="1" applyFill="1" applyAlignment="1">
      <alignment vertical="center"/>
    </xf>
    <xf numFmtId="8" fontId="5" fillId="6" borderId="6" xfId="0" applyNumberFormat="1" applyFont="1" applyFill="1" applyBorder="1" applyAlignment="1">
      <alignment horizontal="right" vertical="center"/>
    </xf>
    <xf numFmtId="1" fontId="5" fillId="0" borderId="0" xfId="0" applyNumberFormat="1" applyFont="1"/>
    <xf numFmtId="172" fontId="17" fillId="0" borderId="0" xfId="2" applyNumberFormat="1" applyFont="1"/>
    <xf numFmtId="174" fontId="5" fillId="0" borderId="0" xfId="0" applyNumberFormat="1" applyFont="1"/>
    <xf numFmtId="173" fontId="7" fillId="0" borderId="0" xfId="0" applyNumberFormat="1" applyFont="1"/>
    <xf numFmtId="0" fontId="5" fillId="6" borderId="9" xfId="0" applyFont="1" applyFill="1" applyBorder="1" applyAlignment="1">
      <alignment vertical="center"/>
    </xf>
    <xf numFmtId="43" fontId="5" fillId="0" borderId="0" xfId="1" applyFont="1"/>
    <xf numFmtId="0" fontId="5" fillId="2" borderId="3" xfId="0" applyFont="1" applyFill="1" applyBorder="1"/>
    <xf numFmtId="0" fontId="10" fillId="2" borderId="3" xfId="0" applyFont="1" applyFill="1" applyBorder="1" applyAlignment="1">
      <alignment vertical="center"/>
    </xf>
    <xf numFmtId="0" fontId="5" fillId="2" borderId="4" xfId="0" applyFont="1" applyFill="1" applyBorder="1"/>
    <xf numFmtId="175" fontId="5" fillId="0" borderId="0" xfId="0" applyNumberFormat="1" applyFont="1"/>
    <xf numFmtId="171" fontId="0" fillId="0" borderId="0" xfId="1" applyNumberFormat="1" applyFont="1"/>
    <xf numFmtId="164" fontId="0" fillId="0" borderId="0" xfId="0" applyNumberFormat="1"/>
    <xf numFmtId="164" fontId="17" fillId="0" borderId="0" xfId="2" applyNumberFormat="1" applyFont="1"/>
    <xf numFmtId="0" fontId="21" fillId="0" borderId="0" xfId="0" applyFont="1"/>
    <xf numFmtId="0" fontId="0" fillId="0" borderId="16" xfId="0" applyBorder="1"/>
    <xf numFmtId="171" fontId="0" fillId="0" borderId="16" xfId="0" applyNumberFormat="1" applyBorder="1"/>
    <xf numFmtId="173" fontId="5" fillId="0" borderId="0" xfId="0" applyNumberFormat="1" applyFont="1"/>
    <xf numFmtId="166" fontId="17" fillId="0" borderId="0" xfId="2" applyNumberFormat="1" applyFont="1"/>
    <xf numFmtId="42" fontId="7" fillId="0" borderId="0" xfId="0" applyNumberFormat="1" applyFont="1"/>
    <xf numFmtId="164" fontId="5" fillId="6" borderId="0" xfId="0" applyNumberFormat="1" applyFont="1" applyFill="1"/>
    <xf numFmtId="10" fontId="7" fillId="6" borderId="0" xfId="2" applyNumberFormat="1" applyFont="1" applyFill="1"/>
    <xf numFmtId="0" fontId="20" fillId="6" borderId="5" xfId="0" applyFont="1" applyFill="1" applyBorder="1"/>
    <xf numFmtId="0" fontId="20" fillId="6" borderId="0" xfId="0" applyFont="1" applyFill="1"/>
    <xf numFmtId="169" fontId="5" fillId="6" borderId="0" xfId="2" applyNumberFormat="1" applyFont="1" applyFill="1"/>
    <xf numFmtId="10" fontId="5" fillId="6" borderId="0" xfId="0" applyNumberFormat="1" applyFont="1" applyFill="1"/>
    <xf numFmtId="10" fontId="5" fillId="6" borderId="0" xfId="2" applyNumberFormat="1" applyFont="1" applyFill="1"/>
    <xf numFmtId="9" fontId="5" fillId="6" borderId="0" xfId="0" applyNumberFormat="1" applyFont="1" applyFill="1"/>
    <xf numFmtId="171" fontId="5" fillId="6" borderId="0" xfId="1" applyNumberFormat="1" applyFont="1" applyFill="1"/>
    <xf numFmtId="0" fontId="5" fillId="6" borderId="5" xfId="0" applyFont="1" applyFill="1" applyBorder="1"/>
    <xf numFmtId="176" fontId="5" fillId="6" borderId="0" xfId="2" applyNumberFormat="1" applyFont="1" applyFill="1"/>
    <xf numFmtId="0" fontId="5" fillId="6" borderId="0" xfId="0" applyFont="1" applyFill="1" applyAlignment="1">
      <alignment horizontal="right" vertical="center"/>
    </xf>
    <xf numFmtId="10" fontId="7" fillId="6" borderId="0" xfId="0" applyNumberFormat="1" applyFont="1" applyFill="1" applyAlignment="1">
      <alignment horizontal="right" vertical="center"/>
    </xf>
    <xf numFmtId="166" fontId="5" fillId="6" borderId="0" xfId="0" applyNumberFormat="1" applyFont="1" applyFill="1" applyAlignment="1">
      <alignment horizontal="right" vertical="center"/>
    </xf>
    <xf numFmtId="164" fontId="9" fillId="6" borderId="0" xfId="0" applyNumberFormat="1" applyFont="1" applyFill="1" applyAlignment="1">
      <alignment horizontal="right" vertical="center"/>
    </xf>
    <xf numFmtId="164" fontId="7" fillId="6" borderId="0" xfId="0" applyNumberFormat="1" applyFont="1" applyFill="1" applyAlignment="1">
      <alignment horizontal="right" vertical="center"/>
    </xf>
    <xf numFmtId="10" fontId="5" fillId="6" borderId="0" xfId="0" applyNumberFormat="1" applyFont="1" applyFill="1" applyAlignment="1">
      <alignment horizontal="right" vertical="center"/>
    </xf>
    <xf numFmtId="8" fontId="5" fillId="6" borderId="0" xfId="0" applyNumberFormat="1" applyFont="1" applyFill="1" applyAlignment="1">
      <alignment horizontal="right" vertical="center"/>
    </xf>
    <xf numFmtId="9" fontId="5" fillId="6" borderId="0" xfId="0" applyNumberFormat="1" applyFont="1" applyFill="1" applyAlignment="1">
      <alignment horizontal="right" vertical="center"/>
    </xf>
    <xf numFmtId="164" fontId="5" fillId="6" borderId="0" xfId="0" applyNumberFormat="1" applyFont="1" applyFill="1" applyAlignment="1">
      <alignment horizontal="right" vertical="center"/>
    </xf>
    <xf numFmtId="164" fontId="5" fillId="6" borderId="0" xfId="1" applyNumberFormat="1" applyFont="1" applyFill="1" applyBorder="1" applyAlignment="1">
      <alignment horizontal="right" vertical="center"/>
    </xf>
    <xf numFmtId="10" fontId="7" fillId="6" borderId="0" xfId="1" applyNumberFormat="1" applyFont="1" applyFill="1" applyBorder="1" applyAlignment="1">
      <alignment horizontal="right" vertical="center"/>
    </xf>
    <xf numFmtId="44" fontId="5" fillId="6" borderId="0" xfId="0" applyNumberFormat="1" applyFont="1" applyFill="1" applyAlignment="1">
      <alignment horizontal="right" vertical="center"/>
    </xf>
    <xf numFmtId="0" fontId="8" fillId="6" borderId="0" xfId="0" applyFont="1" applyFill="1" applyAlignment="1">
      <alignment horizontal="right" vertical="center"/>
    </xf>
    <xf numFmtId="165" fontId="7" fillId="6" borderId="0" xfId="0" applyNumberFormat="1" applyFont="1" applyFill="1" applyAlignment="1">
      <alignment horizontal="right" vertical="center"/>
    </xf>
    <xf numFmtId="10" fontId="5" fillId="6" borderId="0" xfId="2" applyNumberFormat="1" applyFont="1" applyFill="1" applyBorder="1" applyAlignment="1">
      <alignment horizontal="right" vertical="center"/>
    </xf>
    <xf numFmtId="165" fontId="5" fillId="6" borderId="0" xfId="1" applyNumberFormat="1" applyFont="1" applyFill="1" applyBorder="1" applyAlignment="1">
      <alignment horizontal="center" vertical="center"/>
    </xf>
    <xf numFmtId="44" fontId="12" fillId="8" borderId="0" xfId="0" applyNumberFormat="1" applyFont="1" applyFill="1"/>
    <xf numFmtId="0" fontId="12" fillId="8" borderId="0" xfId="0" applyFont="1" applyFill="1" applyAlignment="1">
      <alignment horizontal="right" vertical="center"/>
    </xf>
    <xf numFmtId="0" fontId="22" fillId="6" borderId="0" xfId="0" applyFont="1" applyFill="1"/>
    <xf numFmtId="42" fontId="7" fillId="0" borderId="16" xfId="0" applyNumberFormat="1" applyFont="1" applyBorder="1"/>
    <xf numFmtId="42" fontId="0" fillId="0" borderId="0" xfId="0" applyNumberFormat="1"/>
    <xf numFmtId="44" fontId="5" fillId="6" borderId="0" xfId="2" applyNumberFormat="1" applyFont="1" applyFill="1"/>
    <xf numFmtId="44" fontId="5" fillId="6" borderId="0" xfId="0" applyNumberFormat="1" applyFont="1" applyFill="1"/>
    <xf numFmtId="42" fontId="22" fillId="6" borderId="0" xfId="0" applyNumberFormat="1" applyFont="1" applyFill="1"/>
    <xf numFmtId="2" fontId="22" fillId="6" borderId="0" xfId="0" applyNumberFormat="1" applyFont="1" applyFill="1"/>
    <xf numFmtId="164" fontId="22" fillId="6" borderId="0" xfId="0" applyNumberFormat="1" applyFont="1" applyFill="1"/>
    <xf numFmtId="164" fontId="22" fillId="6" borderId="0" xfId="2" applyNumberFormat="1" applyFont="1" applyFill="1"/>
    <xf numFmtId="166" fontId="22" fillId="6" borderId="0" xfId="2" applyNumberFormat="1" applyFont="1" applyFill="1"/>
    <xf numFmtId="169" fontId="22" fillId="6" borderId="0" xfId="2" applyNumberFormat="1" applyFont="1" applyFill="1"/>
    <xf numFmtId="9" fontId="22" fillId="6" borderId="0" xfId="2" applyFont="1" applyFill="1"/>
    <xf numFmtId="44" fontId="22" fillId="6" borderId="0" xfId="0" applyNumberFormat="1" applyFont="1" applyFill="1"/>
    <xf numFmtId="10" fontId="22" fillId="6" borderId="0" xfId="2" applyNumberFormat="1" applyFont="1" applyFill="1"/>
    <xf numFmtId="165" fontId="12" fillId="8" borderId="0" xfId="0" applyNumberFormat="1" applyFont="1" applyFill="1"/>
    <xf numFmtId="0" fontId="5" fillId="0" borderId="23" xfId="0" applyFont="1" applyBorder="1"/>
    <xf numFmtId="0" fontId="5" fillId="0" borderId="22" xfId="0" applyFont="1" applyBorder="1"/>
    <xf numFmtId="9" fontId="5" fillId="0" borderId="3" xfId="0" applyNumberFormat="1" applyFont="1" applyBorder="1"/>
    <xf numFmtId="9" fontId="5" fillId="0" borderId="3" xfId="2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9" fontId="5" fillId="0" borderId="5" xfId="0" applyNumberFormat="1" applyFont="1" applyBorder="1" applyAlignment="1">
      <alignment horizontal="center" vertical="center"/>
    </xf>
    <xf numFmtId="9" fontId="5" fillId="0" borderId="9" xfId="0" applyNumberFormat="1" applyFont="1" applyBorder="1" applyAlignment="1">
      <alignment horizontal="center" vertical="center"/>
    </xf>
    <xf numFmtId="164" fontId="5" fillId="6" borderId="2" xfId="0" applyNumberFormat="1" applyFont="1" applyFill="1" applyBorder="1"/>
    <xf numFmtId="0" fontId="24" fillId="6" borderId="0" xfId="0" applyFont="1" applyFill="1"/>
    <xf numFmtId="0" fontId="5" fillId="6" borderId="0" xfId="0" applyFont="1" applyFill="1" applyAlignment="1">
      <alignment vertical="center"/>
    </xf>
    <xf numFmtId="0" fontId="5" fillId="6" borderId="0" xfId="0" applyFont="1" applyFill="1" applyAlignment="1">
      <alignment vertical="center" wrapText="1"/>
    </xf>
    <xf numFmtId="0" fontId="5" fillId="6" borderId="39" xfId="0" applyFont="1" applyFill="1" applyBorder="1" applyAlignment="1">
      <alignment vertical="center"/>
    </xf>
    <xf numFmtId="0" fontId="5" fillId="0" borderId="40" xfId="0" applyFont="1" applyBorder="1" applyAlignment="1">
      <alignment vertical="center" wrapText="1"/>
    </xf>
    <xf numFmtId="0" fontId="5" fillId="6" borderId="41" xfId="0" applyFont="1" applyFill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10" borderId="0" xfId="0" applyFont="1" applyFill="1"/>
    <xf numFmtId="0" fontId="4" fillId="10" borderId="0" xfId="3" applyFill="1"/>
    <xf numFmtId="165" fontId="5" fillId="10" borderId="0" xfId="1" applyNumberFormat="1" applyFont="1" applyFill="1" applyBorder="1" applyAlignment="1">
      <alignment horizontal="center" vertical="center"/>
    </xf>
    <xf numFmtId="0" fontId="22" fillId="10" borderId="0" xfId="0" applyFont="1" applyFill="1"/>
    <xf numFmtId="0" fontId="5" fillId="10" borderId="7" xfId="0" applyFont="1" applyFill="1" applyBorder="1"/>
    <xf numFmtId="10" fontId="5" fillId="10" borderId="7" xfId="2" applyNumberFormat="1" applyFont="1" applyFill="1" applyBorder="1" applyAlignment="1">
      <alignment horizontal="center" vertical="center"/>
    </xf>
    <xf numFmtId="164" fontId="7" fillId="10" borderId="0" xfId="1" applyNumberFormat="1" applyFont="1" applyFill="1" applyBorder="1" applyAlignment="1">
      <alignment horizontal="right" vertical="center"/>
    </xf>
    <xf numFmtId="0" fontId="7" fillId="10" borderId="25" xfId="0" applyFont="1" applyFill="1" applyBorder="1"/>
    <xf numFmtId="0" fontId="7" fillId="10" borderId="25" xfId="0" applyFont="1" applyFill="1" applyBorder="1" applyAlignment="1">
      <alignment horizontal="center"/>
    </xf>
    <xf numFmtId="0" fontId="5" fillId="10" borderId="38" xfId="0" applyFont="1" applyFill="1" applyBorder="1"/>
    <xf numFmtId="165" fontId="5" fillId="10" borderId="38" xfId="1" applyNumberFormat="1" applyFont="1" applyFill="1" applyBorder="1" applyAlignment="1">
      <alignment horizontal="center" vertical="center"/>
    </xf>
    <xf numFmtId="165" fontId="5" fillId="10" borderId="7" xfId="1" applyNumberFormat="1" applyFont="1" applyFill="1" applyBorder="1" applyAlignment="1">
      <alignment horizontal="center" vertical="center"/>
    </xf>
    <xf numFmtId="0" fontId="25" fillId="10" borderId="0" xfId="0" applyFont="1" applyFill="1"/>
    <xf numFmtId="0" fontId="26" fillId="10" borderId="25" xfId="0" applyFont="1" applyFill="1" applyBorder="1" applyAlignment="1">
      <alignment vertical="center"/>
    </xf>
    <xf numFmtId="0" fontId="26" fillId="10" borderId="25" xfId="0" applyFont="1" applyFill="1" applyBorder="1" applyAlignment="1">
      <alignment horizontal="center" vertical="center"/>
    </xf>
    <xf numFmtId="164" fontId="25" fillId="10" borderId="0" xfId="0" applyNumberFormat="1" applyFont="1" applyFill="1"/>
    <xf numFmtId="0" fontId="5" fillId="0" borderId="7" xfId="0" applyFont="1" applyBorder="1"/>
    <xf numFmtId="0" fontId="9" fillId="10" borderId="0" xfId="0" applyFont="1" applyFill="1"/>
    <xf numFmtId="0" fontId="5" fillId="0" borderId="10" xfId="0" applyFont="1" applyBorder="1"/>
    <xf numFmtId="0" fontId="27" fillId="2" borderId="3" xfId="0" applyFont="1" applyFill="1" applyBorder="1"/>
    <xf numFmtId="0" fontId="5" fillId="0" borderId="10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23" fillId="10" borderId="2" xfId="0" applyFont="1" applyFill="1" applyBorder="1" applyAlignment="1">
      <alignment horizontal="center" vertical="center"/>
    </xf>
    <xf numFmtId="0" fontId="23" fillId="10" borderId="3" xfId="0" applyFont="1" applyFill="1" applyBorder="1" applyAlignment="1">
      <alignment horizontal="center" vertical="center"/>
    </xf>
    <xf numFmtId="0" fontId="23" fillId="10" borderId="4" xfId="0" applyFont="1" applyFill="1" applyBorder="1" applyAlignment="1">
      <alignment horizontal="center" vertical="center"/>
    </xf>
    <xf numFmtId="0" fontId="23" fillId="10" borderId="5" xfId="0" applyFont="1" applyFill="1" applyBorder="1" applyAlignment="1">
      <alignment horizontal="center" vertical="center"/>
    </xf>
    <xf numFmtId="0" fontId="23" fillId="10" borderId="0" xfId="0" applyFont="1" applyFill="1" applyAlignment="1">
      <alignment horizontal="center" vertical="center"/>
    </xf>
    <xf numFmtId="0" fontId="23" fillId="10" borderId="6" xfId="0" applyFont="1" applyFill="1" applyBorder="1" applyAlignment="1">
      <alignment horizontal="center" vertical="center"/>
    </xf>
    <xf numFmtId="0" fontId="23" fillId="10" borderId="9" xfId="0" applyFont="1" applyFill="1" applyBorder="1" applyAlignment="1">
      <alignment horizontal="center" vertical="center"/>
    </xf>
    <xf numFmtId="0" fontId="23" fillId="10" borderId="10" xfId="0" applyFont="1" applyFill="1" applyBorder="1" applyAlignment="1">
      <alignment horizontal="center" vertical="center"/>
    </xf>
    <xf numFmtId="0" fontId="23" fillId="10" borderId="11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22" fillId="6" borderId="0" xfId="0" applyFont="1" applyFill="1" applyAlignment="1">
      <alignment horizontal="left" vertical="top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</cellXfs>
  <cellStyles count="7">
    <cellStyle name="Гиперссылка" xfId="3" builtinId="8"/>
    <cellStyle name="Обычный" xfId="0" builtinId="0"/>
    <cellStyle name="Обычный 2" xfId="5" xr:uid="{4C77137A-2424-402F-90CE-C0346CAB95F7}"/>
    <cellStyle name="Процентный" xfId="2" builtinId="5"/>
    <cellStyle name="Процентный 2" xfId="6" xr:uid="{4506C847-FE6A-4E33-94C2-44BF90BCC40A}"/>
    <cellStyle name="Финансовый" xfId="1" builtinId="3"/>
    <cellStyle name="Финансовый 2" xfId="4" xr:uid="{82E931A0-7EE8-4556-8714-FEF695FC874C}"/>
  </cellStyles>
  <dxfs count="49"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  <border>
        <vertical/>
        <horizontal/>
      </border>
    </dxf>
    <dxf>
      <font>
        <strike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ont>
        <strike/>
        <color theme="2"/>
      </font>
      <fill>
        <patternFill>
          <bgColor theme="0"/>
        </patternFill>
      </fill>
    </dxf>
    <dxf>
      <fill>
        <patternFill>
          <bgColor theme="9"/>
        </patternFill>
      </fill>
    </dxf>
    <dxf>
      <font>
        <strike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  <dxf>
      <font>
        <strike/>
        <color theme="2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800">
                <a:solidFill>
                  <a:sysClr val="windowText" lastClr="000000"/>
                </a:solidFill>
              </a:rPr>
              <a:t>Капитал </a:t>
            </a:r>
            <a:r>
              <a:rPr lang="ru-RU" sz="1800" baseline="0">
                <a:solidFill>
                  <a:sysClr val="windowText" lastClr="000000"/>
                </a:solidFill>
              </a:rPr>
              <a:t>в денежном выражении </a:t>
            </a:r>
            <a:r>
              <a:rPr lang="ru-RU" sz="1800">
                <a:solidFill>
                  <a:sysClr val="windowText" lastClr="000000"/>
                </a:solidFill>
              </a:rPr>
              <a:t>при сценарии покупки квартиры ребёнку</a:t>
            </a:r>
          </a:p>
        </c:rich>
      </c:tx>
      <c:layout>
        <c:manualLayout>
          <c:xMode val="edge"/>
          <c:yMode val="edge"/>
          <c:x val="0.10599084675776221"/>
          <c:y val="2.48798350272814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0722746093188021"/>
          <c:y val="0.10069547776496089"/>
          <c:w val="0.8796192727269988"/>
          <c:h val="0.81472305644766174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Лист1!$A$5</c:f>
              <c:strCache>
                <c:ptCount val="1"/>
                <c:pt idx="0">
                  <c:v>Аренда - Покупка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>
                  <a:alpha val="50000"/>
                </a:schemeClr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9763-4151-BDA5-08127EACC3E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9763-4151-BDA5-08127EACC3E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9763-4151-BDA5-08127EACC3E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9763-4151-BDA5-08127EACC3E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9763-4151-BDA5-08127EACC3E2}"/>
                </c:ext>
              </c:extLst>
            </c:dLbl>
            <c:dLbl>
              <c:idx val="5"/>
              <c:layout>
                <c:manualLayout>
                  <c:x val="-1.6364940433049038E-3"/>
                  <c:y val="-2.8373875710175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9763-4151-BDA5-08127EACC3E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9763-4151-BDA5-08127EACC3E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9763-4151-BDA5-08127EACC3E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9763-4151-BDA5-08127EACC3E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9763-4151-BDA5-08127EACC3E2}"/>
                </c:ext>
              </c:extLst>
            </c:dLbl>
            <c:dLbl>
              <c:idx val="10"/>
              <c:layout>
                <c:manualLayout>
                  <c:x val="-1.7920589710741575E-3"/>
                  <c:y val="-1.2541253420086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9763-4151-BDA5-08127EACC3E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9763-4151-BDA5-08127EACC3E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9763-4151-BDA5-08127EACC3E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9763-4151-BDA5-08127EACC3E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9763-4151-BDA5-08127EACC3E2}"/>
                </c:ext>
              </c:extLst>
            </c:dLbl>
            <c:dLbl>
              <c:idx val="15"/>
              <c:layout>
                <c:manualLayout>
                  <c:x val="-5.3896510408157586E-5"/>
                  <c:y val="-1.0279450235788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9763-4151-BDA5-08127EACC3E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9763-4151-BDA5-08127EACC3E2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763-4151-BDA5-08127EACC3E2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763-4151-BDA5-08127EACC3E2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9763-4151-BDA5-08127EACC3E2}"/>
                </c:ext>
              </c:extLst>
            </c:dLbl>
            <c:dLbl>
              <c:idx val="20"/>
              <c:layout>
                <c:manualLayout>
                  <c:x val="-1.1953341451730775E-3"/>
                  <c:y val="-1.8094069284908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63-4151-BDA5-08127EACC3E2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Лист1!$D$1:$X$1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Лист1!$D$5:$X$5</c:f>
              <c:numCache>
                <c:formatCode>_-* #\ ##0\ "₽"_-;\-* #\ ##0\ "₽"_-;_-* "-"??\ "₽"_-;_-@_-</c:formatCode>
                <c:ptCount val="21"/>
                <c:pt idx="0">
                  <c:v>800000</c:v>
                </c:pt>
                <c:pt idx="1">
                  <c:v>590580.12789363414</c:v>
                </c:pt>
                <c:pt idx="2">
                  <c:v>637392.99858912732</c:v>
                </c:pt>
                <c:pt idx="3">
                  <c:v>720213.0643247785</c:v>
                </c:pt>
                <c:pt idx="4">
                  <c:v>869861.33550133649</c:v>
                </c:pt>
                <c:pt idx="5">
                  <c:v>1147589.4985257965</c:v>
                </c:pt>
                <c:pt idx="6">
                  <c:v>1499646.6799605284</c:v>
                </c:pt>
                <c:pt idx="7">
                  <c:v>1940067.5988907386</c:v>
                </c:pt>
                <c:pt idx="8">
                  <c:v>2485239.4586859085</c:v>
                </c:pt>
                <c:pt idx="9">
                  <c:v>3154274.711979067</c:v>
                </c:pt>
                <c:pt idx="10">
                  <c:v>3969441.1166572981</c:v>
                </c:pt>
                <c:pt idx="11">
                  <c:v>4956657.7312769964</c:v>
                </c:pt>
                <c:pt idx="12">
                  <c:v>6146066.7893387638</c:v>
                </c:pt>
                <c:pt idx="13">
                  <c:v>7572692.8742040172</c:v>
                </c:pt>
                <c:pt idx="14">
                  <c:v>9277202.5183238313</c:v>
                </c:pt>
                <c:pt idx="15">
                  <c:v>11306779.30424165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63-4151-BDA5-08127EACC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8032528"/>
        <c:axId val="1648027248"/>
      </c:barChart>
      <c:lineChart>
        <c:grouping val="standard"/>
        <c:varyColors val="0"/>
        <c:ser>
          <c:idx val="1"/>
          <c:order val="0"/>
          <c:tx>
            <c:strRef>
              <c:f>Лист1!$A$4</c:f>
              <c:strCache>
                <c:ptCount val="1"/>
                <c:pt idx="0">
                  <c:v>Аренда</c:v>
                </c:pt>
              </c:strCache>
            </c:strRef>
          </c:tx>
          <c:spPr>
            <a:ln w="28575" cap="rnd">
              <a:solidFill>
                <a:srgbClr val="FF0000">
                  <a:alpha val="50000"/>
                </a:srgb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9763-4151-BDA5-08127EACC3E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9763-4151-BDA5-08127EACC3E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763-4151-BDA5-08127EACC3E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763-4151-BDA5-08127EACC3E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763-4151-BDA5-08127EACC3E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763-4151-BDA5-08127EACC3E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763-4151-BDA5-08127EACC3E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763-4151-BDA5-08127EACC3E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63-4151-BDA5-08127EACC3E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63-4151-BDA5-08127EACC3E2}"/>
                </c:ext>
              </c:extLst>
            </c:dLbl>
            <c:dLbl>
              <c:idx val="10"/>
              <c:layout>
                <c:manualLayout>
                  <c:x val="-4.4330068260118878E-2"/>
                  <c:y val="4.85270763664897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63-4151-BDA5-08127EACC3E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63-4151-BDA5-08127EACC3E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763-4151-BDA5-08127EACC3E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63-4151-BDA5-08127EACC3E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63-4151-BDA5-08127EACC3E2}"/>
                </c:ext>
              </c:extLst>
            </c:dLbl>
            <c:dLbl>
              <c:idx val="15"/>
              <c:layout>
                <c:manualLayout>
                  <c:x val="-3.3560188645324493E-2"/>
                  <c:y val="5.07888795507880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63-4151-BDA5-08127EACC3E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763-4151-BDA5-08127EACC3E2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63-4151-BDA5-08127EACC3E2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63-4151-BDA5-08127EACC3E2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63-4151-BDA5-08127EACC3E2}"/>
                </c:ext>
              </c:extLst>
            </c:dLbl>
            <c:dLbl>
              <c:idx val="20"/>
              <c:layout>
                <c:manualLayout>
                  <c:x val="-2.3689966165806021E-3"/>
                  <c:y val="-3.3927047764474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63-4151-BDA5-08127EACC3E2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Лист1!$D$1:$X$1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Лист1!$D$4:$X$4</c:f>
              <c:numCache>
                <c:formatCode>_-* #\ ##0\ "₽"_-;\-* #\ ##0\ "₽"_-;_-* "-"??\ "₽"_-;_-@_-</c:formatCode>
                <c:ptCount val="21"/>
                <c:pt idx="0">
                  <c:v>3500000</c:v>
                </c:pt>
                <c:pt idx="1">
                  <c:v>4341284.3714371333</c:v>
                </c:pt>
                <c:pt idx="2">
                  <c:v>5539908.8317181086</c:v>
                </c:pt>
                <c:pt idx="3">
                  <c:v>6885577.4326720964</c:v>
                </c:pt>
                <c:pt idx="4">
                  <c:v>8420039.7052224502</c:v>
                </c:pt>
                <c:pt idx="5">
                  <c:v>10216578.029332576</c:v>
                </c:pt>
                <c:pt idx="6">
                  <c:v>12234688.635961313</c:v>
                </c:pt>
                <c:pt idx="7">
                  <c:v>14502996.186370892</c:v>
                </c:pt>
                <c:pt idx="8">
                  <c:v>17053960.618933309</c:v>
                </c:pt>
                <c:pt idx="9">
                  <c:v>19924404.887421638</c:v>
                </c:pt>
                <c:pt idx="10">
                  <c:v>23156116.667433523</c:v>
                </c:pt>
                <c:pt idx="11">
                  <c:v>26796534.526473232</c:v>
                </c:pt>
                <c:pt idx="12">
                  <c:v>30899530.554383144</c:v>
                </c:pt>
                <c:pt idx="13">
                  <c:v>35526303.167787291</c:v>
                </c:pt>
                <c:pt idx="14">
                  <c:v>40746395.766112596</c:v>
                </c:pt>
                <c:pt idx="15">
                  <c:v>46654623.152198926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63-4151-BDA5-08127EACC3E2}"/>
            </c:ext>
          </c:extLst>
        </c:ser>
        <c:ser>
          <c:idx val="0"/>
          <c:order val="1"/>
          <c:tx>
            <c:strRef>
              <c:f>Лист1!$A$3</c:f>
              <c:strCache>
                <c:ptCount val="1"/>
                <c:pt idx="0">
                  <c:v>Покупка</c:v>
                </c:pt>
              </c:strCache>
            </c:strRef>
          </c:tx>
          <c:spPr>
            <a:ln w="28575" cap="rnd">
              <a:solidFill>
                <a:schemeClr val="accent1">
                  <a:alpha val="50000"/>
                </a:schemeClr>
              </a:solidFill>
              <a:prstDash val="lgDashDotDot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763-4151-BDA5-08127EACC3E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9763-4151-BDA5-08127EACC3E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9763-4151-BDA5-08127EACC3E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763-4151-BDA5-08127EACC3E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763-4151-BDA5-08127EACC3E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763-4151-BDA5-08127EACC3E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763-4151-BDA5-08127EACC3E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763-4151-BDA5-08127EACC3E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763-4151-BDA5-08127EACC3E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763-4151-BDA5-08127EACC3E2}"/>
                </c:ext>
              </c:extLst>
            </c:dLbl>
            <c:dLbl>
              <c:idx val="10"/>
              <c:layout>
                <c:manualLayout>
                  <c:x val="-6.5869827489707836E-2"/>
                  <c:y val="-3.9683247821144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763-4151-BDA5-08127EACC3E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763-4151-BDA5-08127EACC3E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763-4151-BDA5-08127EACC3E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763-4151-BDA5-08127EACC3E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763-4151-BDA5-08127EACC3E2}"/>
                </c:ext>
              </c:extLst>
            </c:dLbl>
            <c:dLbl>
              <c:idx val="15"/>
              <c:layout>
                <c:manualLayout>
                  <c:x val="-6.2279867618109594E-2"/>
                  <c:y val="-3.96832478211444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763-4151-BDA5-08127EACC3E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763-4151-BDA5-08127EACC3E2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763-4151-BDA5-08127EACC3E2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763-4151-BDA5-08127EACC3E2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63-4151-BDA5-08127EACC3E2}"/>
                </c:ext>
              </c:extLst>
            </c:dLbl>
            <c:dLbl>
              <c:idx val="20"/>
              <c:layout>
                <c:manualLayout>
                  <c:x val="-3.1089538624467748E-2"/>
                  <c:y val="-3.39270477644746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763-4151-BDA5-08127EACC3E2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Лист1!$D$1:$X$1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Лист1!$D$3:$X$3</c:f>
              <c:numCache>
                <c:formatCode>_-* #\ ##0\ "₽"_-;\-* #\ ##0\ "₽"_-;_-* "-"??\ "₽"_-;_-@_-</c:formatCode>
                <c:ptCount val="21"/>
                <c:pt idx="0">
                  <c:v>2700000</c:v>
                </c:pt>
                <c:pt idx="1">
                  <c:v>3750704.2435434991</c:v>
                </c:pt>
                <c:pt idx="2">
                  <c:v>4902515.8331289813</c:v>
                </c:pt>
                <c:pt idx="3">
                  <c:v>6165364.3683473179</c:v>
                </c:pt>
                <c:pt idx="4">
                  <c:v>7550178.3697211137</c:v>
                </c:pt>
                <c:pt idx="5">
                  <c:v>9068988.5308067799</c:v>
                </c:pt>
                <c:pt idx="6">
                  <c:v>10735041.956000784</c:v>
                </c:pt>
                <c:pt idx="7">
                  <c:v>12562928.587480154</c:v>
                </c:pt>
                <c:pt idx="8">
                  <c:v>14568721.1602474</c:v>
                </c:pt>
                <c:pt idx="9">
                  <c:v>16770130.175442571</c:v>
                </c:pt>
                <c:pt idx="10">
                  <c:v>19186675.550776225</c:v>
                </c:pt>
                <c:pt idx="11">
                  <c:v>21839876.795196235</c:v>
                </c:pt>
                <c:pt idx="12">
                  <c:v>24753463.76504438</c:v>
                </c:pt>
                <c:pt idx="13">
                  <c:v>27953610.293583274</c:v>
                </c:pt>
                <c:pt idx="14">
                  <c:v>31469193.247788765</c:v>
                </c:pt>
                <c:pt idx="15">
                  <c:v>35347843.847957276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63-4151-BDA5-08127EACC3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648032528"/>
        <c:axId val="1648027248"/>
      </c:lineChart>
      <c:catAx>
        <c:axId val="164803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48027248"/>
        <c:crosses val="autoZero"/>
        <c:auto val="1"/>
        <c:lblAlgn val="ctr"/>
        <c:lblOffset val="100"/>
        <c:noMultiLvlLbl val="0"/>
      </c:catAx>
      <c:valAx>
        <c:axId val="164802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480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652416127795789"/>
          <c:y val="0.13175003548537673"/>
          <c:w val="0.16545613305644624"/>
          <c:h val="0.16256737101354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ru-RU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800">
                <a:solidFill>
                  <a:sysClr val="windowText" lastClr="000000"/>
                </a:solidFill>
              </a:rPr>
              <a:t>Расходы</a:t>
            </a:r>
            <a:r>
              <a:rPr lang="ru-RU" sz="1800" baseline="0">
                <a:solidFill>
                  <a:sysClr val="windowText" lastClr="000000"/>
                </a:solidFill>
              </a:rPr>
              <a:t> по годам при базовом сценарии</a:t>
            </a:r>
            <a:endParaRPr lang="ru-RU" sz="18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0221697737940545"/>
          <c:y val="1.88661026642799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Лист1!$A$43:$C$43</c:f>
              <c:strCache>
                <c:ptCount val="3"/>
                <c:pt idx="0">
                  <c:v>Покупка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84B0-4B87-9C45-ACB3DC675D6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84B0-4B87-9C45-ACB3DC675D6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84B0-4B87-9C45-ACB3DC675D6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84B0-4B87-9C45-ACB3DC675D6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84B0-4B87-9C45-ACB3DC675D6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84B0-4B87-9C45-ACB3DC675D6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84B0-4B87-9C45-ACB3DC675D6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84B0-4B87-9C45-ACB3DC675D6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84B0-4B87-9C45-ACB3DC675D6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84B0-4B87-9C45-ACB3DC675D6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84B0-4B87-9C45-ACB3DC675D6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84B0-4B87-9C45-ACB3DC675D6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84B0-4B87-9C45-ACB3DC675D6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84B0-4B87-9C45-ACB3DC675D6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84B0-4B87-9C45-ACB3DC675D6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84B0-4B87-9C45-ACB3DC675D69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Лист1!$E$37:$X$37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Лист1!$E$43:$X$43</c:f>
              <c:numCache>
                <c:formatCode>_-* #\ ##0_-;\-* #\ ##0_-;_-* "-"??_-;_-@_-</c:formatCode>
                <c:ptCount val="20"/>
                <c:pt idx="0">
                  <c:v>1051741.1721568718</c:v>
                </c:pt>
                <c:pt idx="1">
                  <c:v>1055665.1721568718</c:v>
                </c:pt>
                <c:pt idx="2">
                  <c:v>1059942.3321568717</c:v>
                </c:pt>
                <c:pt idx="3">
                  <c:v>1064604.4365568717</c:v>
                </c:pt>
                <c:pt idx="4">
                  <c:v>1069686.1303528717</c:v>
                </c:pt>
                <c:pt idx="5">
                  <c:v>1075225.1765905118</c:v>
                </c:pt>
                <c:pt idx="6">
                  <c:v>1081262.7369895391</c:v>
                </c:pt>
                <c:pt idx="7">
                  <c:v>1087843.6778244793</c:v>
                </c:pt>
                <c:pt idx="8">
                  <c:v>1095016.9033345638</c:v>
                </c:pt>
                <c:pt idx="9">
                  <c:v>1102835.7191405564</c:v>
                </c:pt>
                <c:pt idx="10">
                  <c:v>1111358.2283690884</c:v>
                </c:pt>
                <c:pt idx="11">
                  <c:v>1120647.7634281875</c:v>
                </c:pt>
                <c:pt idx="12">
                  <c:v>1130773.3566426062</c:v>
                </c:pt>
                <c:pt idx="13">
                  <c:v>1141810.253246322</c:v>
                </c:pt>
                <c:pt idx="14">
                  <c:v>1153840.4705443725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B0-4B87-9C45-ACB3DC675D69}"/>
            </c:ext>
          </c:extLst>
        </c:ser>
        <c:ser>
          <c:idx val="1"/>
          <c:order val="1"/>
          <c:tx>
            <c:strRef>
              <c:f>Лист1!$A$49:$C$49</c:f>
              <c:strCache>
                <c:ptCount val="3"/>
                <c:pt idx="0">
                  <c:v>Аренда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84B0-4B87-9C45-ACB3DC675D6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84B0-4B87-9C45-ACB3DC675D6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84B0-4B87-9C45-ACB3DC675D6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84B0-4B87-9C45-ACB3DC675D6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84B0-4B87-9C45-ACB3DC675D6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84B0-4B87-9C45-ACB3DC675D6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84B0-4B87-9C45-ACB3DC675D6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84B0-4B87-9C45-ACB3DC675D6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84B0-4B87-9C45-ACB3DC675D6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84B0-4B87-9C45-ACB3DC675D6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84B0-4B87-9C45-ACB3DC675D69}"/>
                </c:ext>
              </c:extLst>
            </c:dLbl>
            <c:dLbl>
              <c:idx val="14"/>
              <c:layout>
                <c:manualLayout>
                  <c:x val="-6.0551020003387045E-3"/>
                  <c:y val="5.39031504693711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84B0-4B87-9C45-ACB3DC675D6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84B0-4B87-9C45-ACB3DC675D6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84B0-4B87-9C45-ACB3DC675D6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84B0-4B87-9C45-ACB3DC675D6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84B0-4B87-9C45-ACB3DC675D69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Лист1!$E$37:$X$37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Лист1!$E$49:$X$49</c:f>
              <c:numCache>
                <c:formatCode>_-* #\ ##0_-;\-* #\ ##0_-;_-* "-"??_-;_-@_-</c:formatCode>
                <c:ptCount val="20"/>
                <c:pt idx="0">
                  <c:v>91200</c:v>
                </c:pt>
                <c:pt idx="1">
                  <c:v>98496</c:v>
                </c:pt>
                <c:pt idx="2">
                  <c:v>106375.68000000001</c:v>
                </c:pt>
                <c:pt idx="3">
                  <c:v>114885.73440000002</c:v>
                </c:pt>
                <c:pt idx="4">
                  <c:v>124076.59315200003</c:v>
                </c:pt>
                <c:pt idx="5">
                  <c:v>134002.72060416004</c:v>
                </c:pt>
                <c:pt idx="6">
                  <c:v>144722.93825249287</c:v>
                </c:pt>
                <c:pt idx="7">
                  <c:v>156300.7733126923</c:v>
                </c:pt>
                <c:pt idx="8">
                  <c:v>168804.83517770769</c:v>
                </c:pt>
                <c:pt idx="9">
                  <c:v>182309.22199192431</c:v>
                </c:pt>
                <c:pt idx="10">
                  <c:v>196893.95975127828</c:v>
                </c:pt>
                <c:pt idx="11">
                  <c:v>212645.47653138055</c:v>
                </c:pt>
                <c:pt idx="12">
                  <c:v>229657.11465389101</c:v>
                </c:pt>
                <c:pt idx="13">
                  <c:v>248029.68382620229</c:v>
                </c:pt>
                <c:pt idx="14">
                  <c:v>267872.05853229848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B0-4B87-9C45-ACB3DC675D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8028096"/>
        <c:axId val="1928035296"/>
      </c:barChart>
      <c:catAx>
        <c:axId val="19280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28035296"/>
        <c:crosses val="autoZero"/>
        <c:auto val="1"/>
        <c:lblAlgn val="ctr"/>
        <c:lblOffset val="100"/>
        <c:noMultiLvlLbl val="0"/>
      </c:catAx>
      <c:valAx>
        <c:axId val="192803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2802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560862424118358"/>
          <c:y val="0.12586703960289927"/>
          <c:w val="0.12306738978596221"/>
          <c:h val="0.12757432639630914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Лист1!$A$39</c:f>
              <c:strCache>
                <c:ptCount val="1"/>
                <c:pt idx="0">
                  <c:v>Ипотека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Лист1!$E$39:$X$39</c:f>
              <c:numCache>
                <c:formatCode>_-* #\ ##0_-;\-* #\ ##0_-;_-* "-"??_-;_-@_-</c:formatCode>
                <c:ptCount val="20"/>
                <c:pt idx="0">
                  <c:v>1008141.1721568716</c:v>
                </c:pt>
                <c:pt idx="1">
                  <c:v>1008141.1721568716</c:v>
                </c:pt>
                <c:pt idx="2">
                  <c:v>1008141.1721568716</c:v>
                </c:pt>
                <c:pt idx="3">
                  <c:v>1008141.1721568716</c:v>
                </c:pt>
                <c:pt idx="4">
                  <c:v>1008141.1721568716</c:v>
                </c:pt>
                <c:pt idx="5">
                  <c:v>1008141.1721568719</c:v>
                </c:pt>
                <c:pt idx="6">
                  <c:v>1008141.1721568715</c:v>
                </c:pt>
                <c:pt idx="7">
                  <c:v>1008141.1721568716</c:v>
                </c:pt>
                <c:pt idx="8">
                  <c:v>1008141.1721568715</c:v>
                </c:pt>
                <c:pt idx="9">
                  <c:v>1008141.1721568715</c:v>
                </c:pt>
                <c:pt idx="10">
                  <c:v>1008141.1721568718</c:v>
                </c:pt>
                <c:pt idx="11">
                  <c:v>1008141.1721568718</c:v>
                </c:pt>
                <c:pt idx="12">
                  <c:v>1008141.1721568718</c:v>
                </c:pt>
                <c:pt idx="13">
                  <c:v>1008141.1721568715</c:v>
                </c:pt>
                <c:pt idx="14">
                  <c:v>1008141.1721568715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A-43BA-B4F5-4D90DC8AC390}"/>
            </c:ext>
          </c:extLst>
        </c:ser>
        <c:ser>
          <c:idx val="1"/>
          <c:order val="1"/>
          <c:tx>
            <c:strRef>
              <c:f>Лист1!$A$40</c:f>
              <c:strCache>
                <c:ptCount val="1"/>
                <c:pt idx="0">
                  <c:v>Страховка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Лист1!$E$40:$X$40</c:f>
              <c:numCache>
                <c:formatCode>_-* #\ ##0_-;\-* #\ ##0_-;_-* "-"??_-;_-@_-</c:formatCode>
                <c:ptCount val="20"/>
                <c:pt idx="0">
                  <c:v>21800</c:v>
                </c:pt>
                <c:pt idx="1">
                  <c:v>23762</c:v>
                </c:pt>
                <c:pt idx="2">
                  <c:v>25900.580000000005</c:v>
                </c:pt>
                <c:pt idx="3">
                  <c:v>28231.632200000007</c:v>
                </c:pt>
                <c:pt idx="4">
                  <c:v>30772.479098000011</c:v>
                </c:pt>
                <c:pt idx="5">
                  <c:v>33542.002216820016</c:v>
                </c:pt>
                <c:pt idx="6">
                  <c:v>36560.782416333815</c:v>
                </c:pt>
                <c:pt idx="7">
                  <c:v>39851.252833803861</c:v>
                </c:pt>
                <c:pt idx="8">
                  <c:v>43437.865588846216</c:v>
                </c:pt>
                <c:pt idx="9">
                  <c:v>47347.273491842374</c:v>
                </c:pt>
                <c:pt idx="10">
                  <c:v>51608.528106108191</c:v>
                </c:pt>
                <c:pt idx="11">
                  <c:v>56253.295635657931</c:v>
                </c:pt>
                <c:pt idx="12">
                  <c:v>61316.092242867147</c:v>
                </c:pt>
                <c:pt idx="13">
                  <c:v>66834.540544725198</c:v>
                </c:pt>
                <c:pt idx="14">
                  <c:v>72849.649193750476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3A-43BA-B4F5-4D90DC8AC390}"/>
            </c:ext>
          </c:extLst>
        </c:ser>
        <c:ser>
          <c:idx val="2"/>
          <c:order val="2"/>
          <c:tx>
            <c:strRef>
              <c:f>Лист1!$A$41</c:f>
              <c:strCache>
                <c:ptCount val="1"/>
                <c:pt idx="0">
                  <c:v>Налог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Лист1!$E$41:$X$41</c:f>
              <c:numCache>
                <c:formatCode>_-* #\ ##0_-;\-* #\ ##0_-;_-* "-"??_-;_-@_-</c:formatCode>
                <c:ptCount val="20"/>
                <c:pt idx="0">
                  <c:v>21800</c:v>
                </c:pt>
                <c:pt idx="1">
                  <c:v>23762</c:v>
                </c:pt>
                <c:pt idx="2">
                  <c:v>25900.580000000005</c:v>
                </c:pt>
                <c:pt idx="3">
                  <c:v>28231.632200000007</c:v>
                </c:pt>
                <c:pt idx="4">
                  <c:v>30772.479098000011</c:v>
                </c:pt>
                <c:pt idx="5">
                  <c:v>33542.002216820016</c:v>
                </c:pt>
                <c:pt idx="6">
                  <c:v>36560.782416333815</c:v>
                </c:pt>
                <c:pt idx="7">
                  <c:v>39851.252833803861</c:v>
                </c:pt>
                <c:pt idx="8">
                  <c:v>43437.865588846216</c:v>
                </c:pt>
                <c:pt idx="9">
                  <c:v>47347.273491842374</c:v>
                </c:pt>
                <c:pt idx="10">
                  <c:v>51608.528106108191</c:v>
                </c:pt>
                <c:pt idx="11">
                  <c:v>56253.295635657931</c:v>
                </c:pt>
                <c:pt idx="12">
                  <c:v>61316.092242867147</c:v>
                </c:pt>
                <c:pt idx="13">
                  <c:v>66834.540544725198</c:v>
                </c:pt>
                <c:pt idx="14">
                  <c:v>72849.649193750476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3A-43BA-B4F5-4D90DC8AC390}"/>
            </c:ext>
          </c:extLst>
        </c:ser>
        <c:ser>
          <c:idx val="3"/>
          <c:order val="3"/>
          <c:tx>
            <c:strRef>
              <c:f>Лист1!$A$42</c:f>
              <c:strCache>
                <c:ptCount val="1"/>
                <c:pt idx="0">
                  <c:v>ЖКУ + прочее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Лист1!$E$42:$X$42</c:f>
              <c:numCache>
                <c:formatCode>_-* #\ ##0_-;\-* #\ ##0_-;_-* "-"??_-;_-@_-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3A-43BA-B4F5-4D90DC8AC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0368"/>
        <c:axId val="1648041168"/>
      </c:barChart>
      <c:catAx>
        <c:axId val="16480603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48041168"/>
        <c:crosses val="autoZero"/>
        <c:auto val="1"/>
        <c:lblAlgn val="ctr"/>
        <c:lblOffset val="100"/>
        <c:noMultiLvlLbl val="0"/>
      </c:catAx>
      <c:valAx>
        <c:axId val="164804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48060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800">
                <a:solidFill>
                  <a:sysClr val="windowText" lastClr="000000"/>
                </a:solidFill>
              </a:rPr>
              <a:t>Расходы</a:t>
            </a:r>
            <a:r>
              <a:rPr lang="ru-RU" sz="1800" baseline="0">
                <a:solidFill>
                  <a:sysClr val="windowText" lastClr="000000"/>
                </a:solidFill>
              </a:rPr>
              <a:t> по годам при базовом сценарии</a:t>
            </a:r>
            <a:endParaRPr lang="ru-RU" sz="18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0221697737940545"/>
          <c:y val="1.88661026642799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Лист1!$A$77</c:f>
              <c:strCache>
                <c:ptCount val="1"/>
                <c:pt idx="0">
                  <c:v>Денежный поток аренда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137D-42F9-86A5-A96DDE9096E1}"/>
                </c:ext>
              </c:extLst>
            </c:dLbl>
            <c:numFmt formatCode="#,##0\ &quot;₽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Лист1!$D$76:$X$76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Лист1!$D$77:$X$77</c:f>
              <c:numCache>
                <c:formatCode>_("₽"* #,##0_);_("₽"* \(#,##0\);_("₽"* "-"_);_(@_)</c:formatCode>
                <c:ptCount val="21"/>
                <c:pt idx="0">
                  <c:v>-3500000</c:v>
                </c:pt>
                <c:pt idx="1">
                  <c:v>-333784.37143713335</c:v>
                </c:pt>
                <c:pt idx="2">
                  <c:v>-569138.22642259113</c:v>
                </c:pt>
                <c:pt idx="3">
                  <c:v>-542381.82035486191</c:v>
                </c:pt>
                <c:pt idx="4">
                  <c:v>-536053.54481290048</c:v>
                </c:pt>
                <c:pt idx="5">
                  <c:v>-575632.56685287156</c:v>
                </c:pt>
                <c:pt idx="6">
                  <c:v>-536706.79237551161</c:v>
                </c:pt>
                <c:pt idx="7">
                  <c:v>-494277.69819518889</c:v>
                </c:pt>
                <c:pt idx="8">
                  <c:v>-448029.98553863738</c:v>
                </c:pt>
                <c:pt idx="9">
                  <c:v>-397619.97874299623</c:v>
                </c:pt>
                <c:pt idx="10">
                  <c:v>-342673.07133574761</c:v>
                </c:pt>
                <c:pt idx="11">
                  <c:v>-282780.94226184674</c:v>
                </c:pt>
                <c:pt idx="12">
                  <c:v>-217498.52157129406</c:v>
                </c:pt>
                <c:pt idx="13">
                  <c:v>-146340.6830185923</c:v>
                </c:pt>
                <c:pt idx="14">
                  <c:v>-68778.638996146852</c:v>
                </c:pt>
                <c:pt idx="15">
                  <c:v>46654623.152198926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37D-42F9-86A5-A96DDE9096E1}"/>
            </c:ext>
          </c:extLst>
        </c:ser>
        <c:ser>
          <c:idx val="1"/>
          <c:order val="1"/>
          <c:tx>
            <c:strRef>
              <c:f>Лист1!$A$78</c:f>
              <c:strCache>
                <c:ptCount val="1"/>
                <c:pt idx="0">
                  <c:v>Денежный поток покупка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0"/>
              <c:numFmt formatCode="#,##0\ &quot;₽&quot;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37D-42F9-86A5-A96DDE9096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Лист1!$D$76:$X$76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Лист1!$D$78:$X$78</c:f>
              <c:numCache>
                <c:formatCode>_("₽"* #,##0_);_("₽"* \(#,##0\);_("₽"* "-"_);_(@_)</c:formatCode>
                <c:ptCount val="21"/>
                <c:pt idx="0">
                  <c:v>-3500000</c:v>
                </c:pt>
                <c:pt idx="1">
                  <c:v>-333784.37143713335</c:v>
                </c:pt>
                <c:pt idx="2">
                  <c:v>-569138.22642259113</c:v>
                </c:pt>
                <c:pt idx="3">
                  <c:v>-542381.82035486191</c:v>
                </c:pt>
                <c:pt idx="4">
                  <c:v>-536053.54481290048</c:v>
                </c:pt>
                <c:pt idx="5">
                  <c:v>-575632.56685287156</c:v>
                </c:pt>
                <c:pt idx="6">
                  <c:v>-536706.79237551161</c:v>
                </c:pt>
                <c:pt idx="7">
                  <c:v>-494277.69819518889</c:v>
                </c:pt>
                <c:pt idx="8">
                  <c:v>-448029.98553863738</c:v>
                </c:pt>
                <c:pt idx="9">
                  <c:v>-397619.97874299623</c:v>
                </c:pt>
                <c:pt idx="10">
                  <c:v>-342673.07133574761</c:v>
                </c:pt>
                <c:pt idx="11">
                  <c:v>-282780.94226184674</c:v>
                </c:pt>
                <c:pt idx="12">
                  <c:v>-217498.52157129406</c:v>
                </c:pt>
                <c:pt idx="13">
                  <c:v>-146340.6830185923</c:v>
                </c:pt>
                <c:pt idx="14">
                  <c:v>-68778.638996146852</c:v>
                </c:pt>
                <c:pt idx="15">
                  <c:v>35347843.847957276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137D-42F9-86A5-A96DDE909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8028096"/>
        <c:axId val="1928035296"/>
      </c:barChart>
      <c:catAx>
        <c:axId val="19280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28035296"/>
        <c:crosses val="autoZero"/>
        <c:auto val="1"/>
        <c:lblAlgn val="ctr"/>
        <c:lblOffset val="100"/>
        <c:noMultiLvlLbl val="0"/>
      </c:catAx>
      <c:valAx>
        <c:axId val="192803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2802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560862424118358"/>
          <c:y val="0.12586703960289927"/>
          <c:w val="0.26602125973781426"/>
          <c:h val="0.379703664100230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27854</xdr:colOff>
      <xdr:row>5</xdr:row>
      <xdr:rowOff>50784</xdr:rowOff>
    </xdr:from>
    <xdr:to>
      <xdr:col>12</xdr:col>
      <xdr:colOff>62433</xdr:colOff>
      <xdr:row>34</xdr:row>
      <xdr:rowOff>141273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D904F3C9-B6F5-0D2D-452A-1C61DD51D0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410193</xdr:colOff>
      <xdr:row>7</xdr:row>
      <xdr:rowOff>47007</xdr:rowOff>
    </xdr:from>
    <xdr:to>
      <xdr:col>13</xdr:col>
      <xdr:colOff>894017</xdr:colOff>
      <xdr:row>9</xdr:row>
      <xdr:rowOff>125122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7AFCAC42-35F6-47BB-9A8B-1F26BAFCD7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1" r="68630" b="-7143"/>
        <a:stretch>
          <a:fillRect/>
        </a:stretch>
      </xdr:blipFill>
      <xdr:spPr bwMode="auto">
        <a:xfrm>
          <a:off x="11944968" y="1323357"/>
          <a:ext cx="483824" cy="45911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353787</xdr:colOff>
      <xdr:row>49</xdr:row>
      <xdr:rowOff>77560</xdr:rowOff>
    </xdr:from>
    <xdr:to>
      <xdr:col>12</xdr:col>
      <xdr:colOff>258536</xdr:colOff>
      <xdr:row>74</xdr:row>
      <xdr:rowOff>27215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45FEC53C-0E76-8C85-9985-9209EFC51F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333373</xdr:colOff>
      <xdr:row>49</xdr:row>
      <xdr:rowOff>77560</xdr:rowOff>
    </xdr:from>
    <xdr:to>
      <xdr:col>20</xdr:col>
      <xdr:colOff>870856</xdr:colOff>
      <xdr:row>74</xdr:row>
      <xdr:rowOff>40822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4E895D83-17E4-B9CA-281C-21113D1E24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549089</xdr:colOff>
      <xdr:row>78</xdr:row>
      <xdr:rowOff>44824</xdr:rowOff>
    </xdr:from>
    <xdr:to>
      <xdr:col>12</xdr:col>
      <xdr:colOff>453838</xdr:colOff>
      <xdr:row>104</xdr:row>
      <xdr:rowOff>179294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A6119A53-8728-4514-9D50-735EE10868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0.95443</cdr:x>
      <cdr:y>0.01074</cdr:y>
    </cdr:from>
    <cdr:to>
      <cdr:x>1</cdr:x>
      <cdr:y>0.09251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7AFCAC42-35F6-47BB-9A8B-1F26BAFCD77C}"/>
            </a:ext>
          </a:extLst>
        </cdr:cNvPr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t="-1" r="68630" b="-7143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133030" y="60325"/>
          <a:ext cx="483824" cy="4591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  <cdr:relSizeAnchor xmlns:cdr="http://schemas.openxmlformats.org/drawingml/2006/chartDrawing">
    <cdr:from>
      <cdr:x>0.13675</cdr:x>
      <cdr:y>0.16458</cdr:y>
    </cdr:from>
    <cdr:to>
      <cdr:x>0.19377</cdr:x>
      <cdr:y>0.22445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287E2016-556F-A7E6-4F50-98B3F50363BC}"/>
            </a:ext>
          </a:extLst>
        </cdr:cNvPr>
        <cdr:cNvSpPr txBox="1"/>
      </cdr:nvSpPr>
      <cdr:spPr>
        <a:xfrm xmlns:a="http://schemas.openxmlformats.org/drawingml/2006/main">
          <a:off x="1451323" y="924128"/>
          <a:ext cx="605117" cy="3361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 kern="1200"/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07D9D-6E5D-45AD-AD53-6DAFEE870717}">
  <sheetPr codeName="Лист1">
    <tabColor rgb="FF92D050"/>
  </sheetPr>
  <dimension ref="B1:J5"/>
  <sheetViews>
    <sheetView showGridLines="0" zoomScale="85" zoomScaleNormal="85" workbookViewId="0">
      <selection activeCell="B5" sqref="B5"/>
    </sheetView>
  </sheetViews>
  <sheetFormatPr defaultRowHeight="15" x14ac:dyDescent="0.25"/>
  <cols>
    <col min="1" max="1" width="6.5703125" customWidth="1"/>
    <col min="2" max="2" width="174.5703125" customWidth="1"/>
  </cols>
  <sheetData>
    <row r="1" spans="2:10" ht="26.25" customHeight="1" thickBot="1" x14ac:dyDescent="0.3"/>
    <row r="2" spans="2:10" ht="239.25" customHeight="1" x14ac:dyDescent="0.25">
      <c r="B2" s="328" t="s">
        <v>224</v>
      </c>
      <c r="J2" s="289" t="s">
        <v>223</v>
      </c>
    </row>
    <row r="3" spans="2:10" ht="129" customHeight="1" thickBot="1" x14ac:dyDescent="0.3">
      <c r="B3" s="329"/>
    </row>
    <row r="4" spans="2:10" ht="18" customHeight="1" thickBot="1" x14ac:dyDescent="0.3"/>
    <row r="5" spans="2:10" ht="210.75" customHeight="1" thickBot="1" x14ac:dyDescent="0.3">
      <c r="B5" s="1" t="s">
        <v>178</v>
      </c>
    </row>
  </sheetData>
  <mergeCells count="1">
    <mergeCell ref="B2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34A5A-156D-4BEA-AB09-DFA290101594}">
  <sheetPr codeName="Лист2">
    <tabColor rgb="FF92D050"/>
  </sheetPr>
  <dimension ref="A1:CK186"/>
  <sheetViews>
    <sheetView showGridLines="0" tabSelected="1" zoomScale="85" zoomScaleNormal="85" workbookViewId="0">
      <selection activeCell="I23" sqref="I23"/>
    </sheetView>
  </sheetViews>
  <sheetFormatPr defaultColWidth="9.140625" defaultRowHeight="15" x14ac:dyDescent="0.25"/>
  <cols>
    <col min="1" max="1" width="9.140625" style="2"/>
    <col min="2" max="2" width="42.42578125" style="2" customWidth="1"/>
    <col min="3" max="3" width="12.28515625" style="3" customWidth="1"/>
    <col min="4" max="4" width="17.85546875" style="3" customWidth="1"/>
    <col min="5" max="5" width="4.7109375" style="2" customWidth="1"/>
    <col min="6" max="6" width="2.5703125" style="2" customWidth="1"/>
    <col min="7" max="7" width="1.7109375" style="2" customWidth="1"/>
    <col min="8" max="8" width="4.7109375" style="2" customWidth="1"/>
    <col min="9" max="9" width="31.42578125" style="2" customWidth="1"/>
    <col min="10" max="11" width="18.85546875" style="2" customWidth="1"/>
    <col min="12" max="13" width="15.7109375" style="2" customWidth="1"/>
    <col min="14" max="14" width="17" style="2" customWidth="1"/>
    <col min="15" max="15" width="15.140625" style="2" customWidth="1"/>
    <col min="16" max="16" width="15.85546875" style="2" bestFit="1" customWidth="1"/>
    <col min="17" max="17" width="2.42578125" style="2" customWidth="1"/>
    <col min="18" max="19" width="12.42578125" style="2" bestFit="1" customWidth="1"/>
    <col min="20" max="30" width="9.140625" style="2"/>
    <col min="31" max="31" width="9.140625" style="2" hidden="1" customWidth="1"/>
    <col min="32" max="32" width="2.42578125" style="2" hidden="1" customWidth="1"/>
    <col min="33" max="33" width="12.42578125" style="2" hidden="1" customWidth="1"/>
    <col min="34" max="39" width="16.5703125" style="2" hidden="1" customWidth="1"/>
    <col min="40" max="41" width="16.5703125" hidden="1" customWidth="1"/>
    <col min="42" max="44" width="0" hidden="1" customWidth="1"/>
    <col min="45" max="45" width="5.85546875" style="2" hidden="1" customWidth="1"/>
    <col min="46" max="47" width="15.5703125" style="2" hidden="1" customWidth="1"/>
    <col min="48" max="51" width="12.42578125" style="2" hidden="1" customWidth="1"/>
    <col min="52" max="53" width="12" style="2" hidden="1" customWidth="1"/>
    <col min="54" max="71" width="0" style="2" hidden="1" customWidth="1"/>
    <col min="72" max="16384" width="9.140625" style="2"/>
  </cols>
  <sheetData>
    <row r="1" spans="2:49" ht="12.75" customHeight="1" thickBot="1" x14ac:dyDescent="0.3">
      <c r="H1" s="296"/>
      <c r="I1" s="308"/>
      <c r="J1" s="308"/>
      <c r="K1" s="308"/>
      <c r="L1" s="296"/>
    </row>
    <row r="2" spans="2:49" ht="12.75" customHeight="1" thickBot="1" x14ac:dyDescent="0.3">
      <c r="B2" s="4" t="s">
        <v>0</v>
      </c>
      <c r="C2" s="5"/>
      <c r="D2" s="6"/>
      <c r="E2" s="7" t="s">
        <v>1</v>
      </c>
      <c r="H2" s="296"/>
      <c r="I2" s="309" t="s">
        <v>2</v>
      </c>
      <c r="J2" s="310" t="s">
        <v>8</v>
      </c>
      <c r="K2" s="310" t="str">
        <f>IF($D$43="Да","Аренда","Накопление")</f>
        <v>Накопление</v>
      </c>
      <c r="L2" s="297" t="s">
        <v>1</v>
      </c>
    </row>
    <row r="3" spans="2:49" ht="12.75" customHeight="1" thickTop="1" x14ac:dyDescent="0.25">
      <c r="B3" s="15" t="s">
        <v>197</v>
      </c>
      <c r="D3" s="9"/>
      <c r="H3" s="296"/>
      <c r="I3" s="296" t="s">
        <v>13</v>
      </c>
      <c r="J3" s="298">
        <f>Покупка!D24</f>
        <v>-3500000</v>
      </c>
      <c r="K3" s="298">
        <f>Аренда!D9-Аренда!D15</f>
        <v>-3500000</v>
      </c>
      <c r="L3" s="299"/>
      <c r="N3" s="312" t="s">
        <v>3</v>
      </c>
      <c r="O3" s="312"/>
    </row>
    <row r="4" spans="2:49" ht="12.75" customHeight="1" x14ac:dyDescent="0.25">
      <c r="B4" s="10" t="s">
        <v>4</v>
      </c>
      <c r="C4" s="11" t="s">
        <v>5</v>
      </c>
      <c r="D4" s="12" t="s">
        <v>6</v>
      </c>
      <c r="H4" s="296"/>
      <c r="I4" s="296" t="s">
        <v>208</v>
      </c>
      <c r="J4" s="298">
        <f>HLOOKUP(D7,Покупка!D4:BB53,46)</f>
        <v>35347843.847957276</v>
      </c>
      <c r="K4" s="298">
        <f>HLOOKUP(D7,Аренда!D4:BB19,12)</f>
        <v>46654623.152198926</v>
      </c>
      <c r="L4" s="311"/>
      <c r="N4" s="14"/>
      <c r="O4" s="2" t="s">
        <v>10</v>
      </c>
    </row>
    <row r="5" spans="2:49" ht="12.75" customHeight="1" x14ac:dyDescent="0.25">
      <c r="B5" s="15" t="s">
        <v>11</v>
      </c>
      <c r="C5" s="16" t="s">
        <v>12</v>
      </c>
      <c r="D5" s="17">
        <v>10000000</v>
      </c>
      <c r="G5" s="111"/>
      <c r="H5" s="296"/>
      <c r="I5" s="300" t="s">
        <v>203</v>
      </c>
      <c r="J5" s="301">
        <f>Покупка!D52</f>
        <v>0.12051840231128264</v>
      </c>
      <c r="K5" s="301">
        <f>Аренда!D18</f>
        <v>0.1449999999999998</v>
      </c>
      <c r="L5" s="311"/>
      <c r="M5" s="156"/>
      <c r="N5" s="20"/>
      <c r="O5" s="2" t="s">
        <v>14</v>
      </c>
    </row>
    <row r="6" spans="2:49" ht="12.75" customHeight="1" x14ac:dyDescent="0.25">
      <c r="B6" s="15" t="s">
        <v>15</v>
      </c>
      <c r="C6" s="16" t="s">
        <v>12</v>
      </c>
      <c r="D6" s="17">
        <v>0</v>
      </c>
      <c r="E6" s="47"/>
      <c r="F6" s="47"/>
      <c r="G6" s="237"/>
      <c r="H6" s="296"/>
      <c r="I6" s="296"/>
      <c r="J6" s="296"/>
      <c r="K6" s="296"/>
      <c r="L6" s="311"/>
      <c r="M6" s="222"/>
      <c r="N6" s="21"/>
      <c r="O6" s="2" t="s">
        <v>16</v>
      </c>
    </row>
    <row r="7" spans="2:49" ht="12.75" customHeight="1" thickBot="1" x14ac:dyDescent="0.3">
      <c r="B7" s="15" t="s">
        <v>17</v>
      </c>
      <c r="C7" s="22" t="s">
        <v>18</v>
      </c>
      <c r="D7" s="23">
        <v>15</v>
      </c>
      <c r="E7" s="47"/>
      <c r="F7" s="47"/>
      <c r="G7" s="47"/>
      <c r="H7" s="302"/>
      <c r="I7" s="303" t="s">
        <v>20</v>
      </c>
      <c r="J7" s="304" t="s">
        <v>205</v>
      </c>
      <c r="K7" s="304" t="s">
        <v>21</v>
      </c>
      <c r="L7" s="311"/>
      <c r="M7" s="226"/>
      <c r="N7" s="24"/>
      <c r="O7" s="13"/>
    </row>
    <row r="8" spans="2:49" ht="12.75" customHeight="1" thickTop="1" x14ac:dyDescent="0.25">
      <c r="B8" s="8"/>
      <c r="D8" s="9"/>
      <c r="E8" s="47"/>
      <c r="F8" s="47"/>
      <c r="G8" s="47"/>
      <c r="H8" s="296"/>
      <c r="I8" s="305" t="s">
        <v>25</v>
      </c>
      <c r="J8" s="306">
        <f>$D$5*(1+$D$9)^$D$7</f>
        <v>36424824.596875228</v>
      </c>
      <c r="K8" s="306">
        <f>HLOOKUP($D$7,Аренда!D4:BB21,12)</f>
        <v>46654623.152198926</v>
      </c>
      <c r="L8" s="311"/>
    </row>
    <row r="9" spans="2:49" ht="12.75" customHeight="1" thickBot="1" x14ac:dyDescent="0.3">
      <c r="B9" s="15" t="s">
        <v>188</v>
      </c>
      <c r="C9" s="16" t="s">
        <v>19</v>
      </c>
      <c r="D9" s="27">
        <v>0.09</v>
      </c>
      <c r="E9" s="47"/>
      <c r="F9" s="236"/>
      <c r="G9" s="47"/>
      <c r="H9" s="296"/>
      <c r="I9" s="296"/>
      <c r="J9" s="296"/>
      <c r="K9" s="296"/>
      <c r="L9" s="311"/>
      <c r="AF9" s="316" t="s">
        <v>183</v>
      </c>
      <c r="AG9" s="316"/>
      <c r="AH9" s="316"/>
      <c r="AI9" s="316"/>
      <c r="AJ9" s="316"/>
      <c r="AK9" s="316"/>
      <c r="AL9" s="316"/>
    </row>
    <row r="10" spans="2:49" ht="12.75" customHeight="1" thickBot="1" x14ac:dyDescent="0.3">
      <c r="B10" s="15" t="s">
        <v>191</v>
      </c>
      <c r="C10" s="16" t="s">
        <v>19</v>
      </c>
      <c r="D10" s="27">
        <v>3.5000000000000003E-2</v>
      </c>
      <c r="E10" s="238"/>
      <c r="F10" s="241"/>
      <c r="G10" s="239"/>
      <c r="H10" s="296"/>
      <c r="I10" s="303" t="s">
        <v>29</v>
      </c>
      <c r="J10" s="304" t="s">
        <v>8</v>
      </c>
      <c r="K10" s="304" t="str">
        <f>IF($D$43="Да","Аренда","Накопление")</f>
        <v>Накопление</v>
      </c>
      <c r="L10" s="308"/>
      <c r="N10" s="13"/>
      <c r="AF10" s="130"/>
      <c r="AG10" s="141"/>
      <c r="AH10" s="317" t="str">
        <f>B9</f>
        <v>Изменение стоимости недвижимости</v>
      </c>
      <c r="AI10" s="317"/>
      <c r="AJ10" s="317"/>
      <c r="AK10" s="317"/>
      <c r="AL10" s="318"/>
    </row>
    <row r="11" spans="2:49" ht="12.75" customHeight="1" thickTop="1" x14ac:dyDescent="0.25">
      <c r="B11" s="8" t="s">
        <v>22</v>
      </c>
      <c r="C11" s="3" t="s">
        <v>23</v>
      </c>
      <c r="D11" s="30" t="s">
        <v>24</v>
      </c>
      <c r="E11" s="47"/>
      <c r="F11" s="47"/>
      <c r="G11" s="240"/>
      <c r="H11" s="296"/>
      <c r="I11" s="313" t="s">
        <v>32</v>
      </c>
      <c r="J11" s="298">
        <f>-Ипотека!I6</f>
        <v>84011.764346405966</v>
      </c>
      <c r="K11" s="298">
        <v>0</v>
      </c>
      <c r="L11" s="299"/>
      <c r="AF11" s="145"/>
      <c r="AG11" s="139">
        <f>C63</f>
        <v>11306779.30424165</v>
      </c>
      <c r="AH11" s="138">
        <v>0.05</v>
      </c>
      <c r="AI11" s="138">
        <v>0.08</v>
      </c>
      <c r="AJ11" s="138">
        <v>0.11</v>
      </c>
      <c r="AK11" s="138">
        <v>0.14000000000000001</v>
      </c>
      <c r="AL11" s="142">
        <v>0.17</v>
      </c>
    </row>
    <row r="12" spans="2:49" ht="12.75" customHeight="1" thickBot="1" x14ac:dyDescent="0.3">
      <c r="B12" s="8" t="s">
        <v>26</v>
      </c>
      <c r="C12" s="3" t="s">
        <v>27</v>
      </c>
      <c r="D12" s="31">
        <v>0.3</v>
      </c>
      <c r="E12" s="47"/>
      <c r="F12" s="269"/>
      <c r="G12" s="268"/>
      <c r="H12" s="296"/>
      <c r="I12" s="296" t="s">
        <v>34</v>
      </c>
      <c r="J12" s="298">
        <f>J11/0.6</f>
        <v>140019.60724400994</v>
      </c>
      <c r="K12" s="298">
        <v>0</v>
      </c>
      <c r="L12" s="299"/>
      <c r="M12" s="61"/>
      <c r="AF12" s="133"/>
      <c r="AG12" s="140">
        <v>0.05</v>
      </c>
      <c r="AH12" s="13">
        <f t="dataTable" ref="AH12:AL16" dt2D="1" dtr="1" r1="D9" r2="D58"/>
        <v>-1520430.702375643</v>
      </c>
      <c r="AI12" s="13">
        <v>-14157794.40681931</v>
      </c>
      <c r="AJ12" s="13">
        <v>-32398896.343015593</v>
      </c>
      <c r="AK12" s="13">
        <v>-58556237.127577558</v>
      </c>
      <c r="AL12" s="134">
        <v>-95808219.222977951</v>
      </c>
      <c r="AS12" s="147">
        <f t="shared" ref="AS12:AW16" si="0">AH12/$AJ12 -1</f>
        <v>-0.95307152792248084</v>
      </c>
      <c r="AT12" s="147">
        <f t="shared" si="0"/>
        <v>-0.56301615163285079</v>
      </c>
      <c r="AU12" s="147">
        <f t="shared" si="0"/>
        <v>0</v>
      </c>
      <c r="AV12" s="147">
        <f t="shared" si="0"/>
        <v>0.80735283410975955</v>
      </c>
      <c r="AW12" s="147">
        <f t="shared" si="0"/>
        <v>1.9571445338332292</v>
      </c>
    </row>
    <row r="13" spans="2:49" ht="12.75" customHeight="1" x14ac:dyDescent="0.25">
      <c r="B13" s="8" t="s">
        <v>28</v>
      </c>
      <c r="C13" s="3" t="s">
        <v>12</v>
      </c>
      <c r="D13" s="32">
        <f>D5*D12</f>
        <v>3000000</v>
      </c>
      <c r="E13" s="47"/>
      <c r="F13" s="246"/>
      <c r="G13" s="241"/>
      <c r="H13" s="296"/>
      <c r="I13" s="300" t="s">
        <v>36</v>
      </c>
      <c r="J13" s="307">
        <f>-Ипотека!M5</f>
        <v>8122117.5823530955</v>
      </c>
      <c r="K13" s="307">
        <v>0</v>
      </c>
      <c r="L13" s="299"/>
      <c r="M13" s="61"/>
      <c r="AF13" s="8"/>
      <c r="AG13" s="140">
        <v>0.08</v>
      </c>
      <c r="AH13" s="13">
        <v>5288105.1408893131</v>
      </c>
      <c r="AI13" s="130">
        <v>-7609356.7215652019</v>
      </c>
      <c r="AJ13" s="131">
        <v>-26158058.169783909</v>
      </c>
      <c r="AK13" s="132">
        <v>-52680017.016360886</v>
      </c>
      <c r="AL13" s="134">
        <v>-90365045.763501853</v>
      </c>
      <c r="AS13" s="147">
        <f t="shared" si="0"/>
        <v>-1.2021596980389695</v>
      </c>
      <c r="AT13" s="147">
        <f t="shared" si="0"/>
        <v>-0.70910085633363118</v>
      </c>
      <c r="AU13" s="147">
        <f t="shared" si="0"/>
        <v>0</v>
      </c>
      <c r="AV13" s="147">
        <f t="shared" si="0"/>
        <v>1.0139116089746074</v>
      </c>
      <c r="AW13" s="147">
        <f t="shared" si="0"/>
        <v>2.4545777510306821</v>
      </c>
    </row>
    <row r="14" spans="2:49" ht="12.75" customHeight="1" thickBot="1" x14ac:dyDescent="0.3">
      <c r="B14" s="15" t="s">
        <v>31</v>
      </c>
      <c r="C14" s="16" t="s">
        <v>12</v>
      </c>
      <c r="D14" s="36">
        <f>D5-D13</f>
        <v>7000000</v>
      </c>
      <c r="E14" s="47"/>
      <c r="F14" s="47"/>
      <c r="G14" s="242"/>
      <c r="H14" s="296"/>
      <c r="I14" s="296"/>
      <c r="J14" s="296"/>
      <c r="K14" s="296"/>
      <c r="L14" s="296"/>
      <c r="AF14" s="144" t="s">
        <v>182</v>
      </c>
      <c r="AG14" s="140">
        <v>0.11</v>
      </c>
      <c r="AH14" s="13">
        <v>14789772.468804341</v>
      </c>
      <c r="AI14" s="133">
        <v>1584711.0943274014</v>
      </c>
      <c r="AJ14" s="146">
        <v>-17325142.296499696</v>
      </c>
      <c r="AK14" s="134">
        <v>-44272203.874490917</v>
      </c>
      <c r="AL14" s="134">
        <v>-82458707.863097981</v>
      </c>
      <c r="AS14" s="147">
        <f t="shared" si="0"/>
        <v>-1.8536595091511836</v>
      </c>
      <c r="AT14" s="147">
        <f t="shared" si="0"/>
        <v>-1.091468864567281</v>
      </c>
      <c r="AU14" s="147">
        <f t="shared" si="0"/>
        <v>0</v>
      </c>
      <c r="AV14" s="147">
        <f t="shared" si="0"/>
        <v>1.5553731748243997</v>
      </c>
      <c r="AW14" s="147">
        <f t="shared" si="0"/>
        <v>3.759482286027608</v>
      </c>
    </row>
    <row r="15" spans="2:49" ht="12.75" customHeight="1" thickBot="1" x14ac:dyDescent="0.3">
      <c r="B15" s="8" t="s">
        <v>33</v>
      </c>
      <c r="C15" s="3" t="s">
        <v>19</v>
      </c>
      <c r="D15" s="38">
        <v>0.12</v>
      </c>
      <c r="E15" s="47"/>
      <c r="F15" s="47"/>
      <c r="G15" s="241"/>
      <c r="H15" s="296"/>
      <c r="I15" s="319" t="str" cm="1">
        <f t="array" ref="I15">_xlfn.IFS((K4-J4)&lt;0,B63,AND((K4-J4)&gt;0,D43="Да"),B64,AND((K4-J4)&gt;0,D43="Нет"),B65)</f>
        <v>Накопление выгоднее на 11 306 779 ₽</v>
      </c>
      <c r="J15" s="320"/>
      <c r="K15" s="321"/>
      <c r="L15" s="296"/>
      <c r="Q15" s="262"/>
      <c r="R15" s="262"/>
      <c r="AF15" s="8"/>
      <c r="AG15" s="140">
        <v>0.14000000000000001</v>
      </c>
      <c r="AH15" s="13">
        <v>28014409.413576569</v>
      </c>
      <c r="AI15" s="135">
        <v>14444729.977084611</v>
      </c>
      <c r="AJ15" s="136">
        <v>-4890226.1451567188</v>
      </c>
      <c r="AK15" s="137">
        <v>-32334249.888173983</v>
      </c>
      <c r="AL15" s="134">
        <v>-71103114.704739124</v>
      </c>
      <c r="AS15" s="147">
        <f t="shared" si="0"/>
        <v>-6.7286531505955089</v>
      </c>
      <c r="AT15" s="147">
        <f t="shared" si="0"/>
        <v>-3.95379590806668</v>
      </c>
      <c r="AU15" s="147">
        <f t="shared" si="0"/>
        <v>0</v>
      </c>
      <c r="AV15" s="147">
        <f t="shared" si="0"/>
        <v>5.6120152582714056</v>
      </c>
      <c r="AW15" s="147">
        <f t="shared" si="0"/>
        <v>13.539841838431064</v>
      </c>
    </row>
    <row r="16" spans="2:49" ht="12.75" customHeight="1" thickBot="1" x14ac:dyDescent="0.3">
      <c r="B16" s="8" t="s">
        <v>35</v>
      </c>
      <c r="C16" s="3" t="s">
        <v>18</v>
      </c>
      <c r="D16" s="39">
        <v>15</v>
      </c>
      <c r="E16" s="47"/>
      <c r="F16" s="243"/>
      <c r="G16" s="241"/>
      <c r="H16" s="296"/>
      <c r="I16" s="322"/>
      <c r="J16" s="323"/>
      <c r="K16" s="324"/>
      <c r="L16" s="296"/>
      <c r="AF16" s="25"/>
      <c r="AG16" s="143">
        <v>0.17</v>
      </c>
      <c r="AH16" s="136">
        <v>46357662.971218869</v>
      </c>
      <c r="AI16" s="136">
        <v>32354936.882986348</v>
      </c>
      <c r="AJ16" s="136">
        <v>12518505.519278899</v>
      </c>
      <c r="AK16" s="136">
        <v>-15507879.051696487</v>
      </c>
      <c r="AL16" s="137">
        <v>-54954764.310136549</v>
      </c>
      <c r="AS16" s="147">
        <f t="shared" si="0"/>
        <v>2.7031307690703645</v>
      </c>
      <c r="AT16" s="147">
        <f t="shared" si="0"/>
        <v>1.5845686478436831</v>
      </c>
      <c r="AU16" s="147">
        <f t="shared" si="0"/>
        <v>0</v>
      </c>
      <c r="AV16" s="147">
        <f t="shared" si="0"/>
        <v>-2.2387963585440653</v>
      </c>
      <c r="AW16" s="147">
        <f t="shared" si="0"/>
        <v>-5.3898821808645172</v>
      </c>
    </row>
    <row r="17" spans="2:49" ht="12.75" customHeight="1" thickBot="1" x14ac:dyDescent="0.3">
      <c r="B17" s="8" t="s">
        <v>32</v>
      </c>
      <c r="C17" s="3" t="s">
        <v>37</v>
      </c>
      <c r="D17" s="216">
        <f>-Ипотека!I6</f>
        <v>84011.764346405966</v>
      </c>
      <c r="E17" s="47"/>
      <c r="F17" s="47"/>
      <c r="G17" s="242"/>
      <c r="H17" s="296"/>
      <c r="I17" s="325"/>
      <c r="J17" s="326"/>
      <c r="K17" s="327"/>
      <c r="L17" s="296"/>
    </row>
    <row r="18" spans="2:49" ht="12.75" customHeight="1" thickBot="1" x14ac:dyDescent="0.3">
      <c r="B18" s="8"/>
      <c r="D18" s="9"/>
      <c r="E18" s="47"/>
      <c r="F18" s="47"/>
      <c r="G18" s="242"/>
      <c r="H18" s="296"/>
      <c r="I18" s="296"/>
      <c r="J18" s="296"/>
      <c r="K18" s="296"/>
      <c r="L18" s="296"/>
      <c r="Q18" s="67"/>
      <c r="R18" s="67"/>
      <c r="AF18" s="316"/>
      <c r="AG18" s="316"/>
      <c r="AH18" s="316"/>
      <c r="AI18" s="316"/>
      <c r="AJ18" s="316"/>
      <c r="AK18" s="316"/>
      <c r="AL18" s="316"/>
    </row>
    <row r="19" spans="2:49" ht="12.75" customHeight="1" x14ac:dyDescent="0.25">
      <c r="B19" s="8" t="s">
        <v>38</v>
      </c>
      <c r="C19" s="3" t="s">
        <v>23</v>
      </c>
      <c r="D19" s="30" t="s">
        <v>24</v>
      </c>
      <c r="E19" s="47"/>
      <c r="F19" s="47"/>
      <c r="G19" s="47"/>
      <c r="H19" s="296"/>
      <c r="I19" s="296"/>
      <c r="J19" s="296"/>
      <c r="K19" s="296"/>
      <c r="L19" s="296"/>
      <c r="AF19" s="130"/>
      <c r="AG19" s="141"/>
      <c r="AH19" s="317" t="s">
        <v>143</v>
      </c>
      <c r="AI19" s="317"/>
      <c r="AJ19" s="317"/>
      <c r="AK19" s="317"/>
      <c r="AL19" s="318"/>
    </row>
    <row r="20" spans="2:49" ht="12.75" customHeight="1" x14ac:dyDescent="0.25">
      <c r="B20" s="8" t="s">
        <v>39</v>
      </c>
      <c r="C20" s="3" t="s">
        <v>23</v>
      </c>
      <c r="D20" s="30" t="s">
        <v>24</v>
      </c>
      <c r="E20" s="47"/>
      <c r="F20" s="47"/>
      <c r="G20" s="47"/>
      <c r="AF20" s="145"/>
      <c r="AG20" s="139">
        <f>C63</f>
        <v>11306779.30424165</v>
      </c>
      <c r="AH20" s="138">
        <f>AI20*0.9</f>
        <v>0.24300000000000002</v>
      </c>
      <c r="AI20" s="138">
        <f>AJ20*0.9</f>
        <v>0.27</v>
      </c>
      <c r="AJ20" s="138">
        <v>0.3</v>
      </c>
      <c r="AK20" s="138">
        <f>AJ20/0.9</f>
        <v>0.33333333333333331</v>
      </c>
      <c r="AL20" s="142">
        <f>AK20/0.9</f>
        <v>0.37037037037037035</v>
      </c>
    </row>
    <row r="21" spans="2:49" ht="12.75" customHeight="1" thickBot="1" x14ac:dyDescent="0.3">
      <c r="B21" s="8" t="s">
        <v>40</v>
      </c>
      <c r="C21" s="3" t="s">
        <v>19</v>
      </c>
      <c r="D21" s="38">
        <v>2E-3</v>
      </c>
      <c r="E21" s="47"/>
      <c r="F21" s="47"/>
      <c r="G21" s="244"/>
      <c r="AF21" s="133"/>
      <c r="AG21" s="140">
        <f>AG22-0.005</f>
        <v>0.105</v>
      </c>
      <c r="AH21" s="13">
        <f t="dataTable" ref="AH21:AL25" dt2D="1" dtr="1" r1="D12" r2="D58" ca="1"/>
        <v>-5571997.1392234452</v>
      </c>
      <c r="AI21" s="13">
        <v>-5642017.1560870074</v>
      </c>
      <c r="AJ21" s="13">
        <v>-5719817.1748243198</v>
      </c>
      <c r="AK21" s="13">
        <v>-5806261.6400878876</v>
      </c>
      <c r="AL21" s="134">
        <v>-5896960.5180884749</v>
      </c>
      <c r="AS21" s="147">
        <f t="shared" ref="AS21:AW25" si="1">AH21/$AJ21 -1</f>
        <v>-2.5843489587657142E-2</v>
      </c>
      <c r="AT21" s="147">
        <f t="shared" si="1"/>
        <v>-1.3601836625084407E-2</v>
      </c>
      <c r="AU21" s="147">
        <f t="shared" si="1"/>
        <v>0</v>
      </c>
      <c r="AV21" s="147">
        <f t="shared" si="1"/>
        <v>1.5113151805629776E-2</v>
      </c>
      <c r="AW21" s="147">
        <f t="shared" si="1"/>
        <v>3.097010583552362E-2</v>
      </c>
    </row>
    <row r="22" spans="2:49" ht="12.75" customHeight="1" thickBot="1" x14ac:dyDescent="0.3">
      <c r="B22" s="8" t="s">
        <v>41</v>
      </c>
      <c r="C22" s="3" t="s">
        <v>42</v>
      </c>
      <c r="D22" s="39">
        <v>40000</v>
      </c>
      <c r="E22" s="47"/>
      <c r="F22" s="47"/>
      <c r="G22" s="244"/>
      <c r="AF22" s="8"/>
      <c r="AG22" s="140">
        <f>AG23-0.005</f>
        <v>0.11</v>
      </c>
      <c r="AH22" s="13">
        <v>-3906864.6125038117</v>
      </c>
      <c r="AI22" s="130">
        <v>-3943744.5900945254</v>
      </c>
      <c r="AJ22" s="131">
        <v>-3984722.3429730795</v>
      </c>
      <c r="AK22" s="132">
        <v>-4030253.1795047</v>
      </c>
      <c r="AL22" s="134">
        <v>-4074978.8215178549</v>
      </c>
      <c r="AS22" s="147">
        <f t="shared" si="1"/>
        <v>-1.9539060383107265E-2</v>
      </c>
      <c r="AT22" s="147">
        <f t="shared" si="1"/>
        <v>-1.0283715991107112E-2</v>
      </c>
      <c r="AU22" s="147">
        <f t="shared" si="1"/>
        <v>0</v>
      </c>
      <c r="AV22" s="147">
        <f t="shared" si="1"/>
        <v>1.142635110120338E-2</v>
      </c>
      <c r="AW22" s="147">
        <f t="shared" si="1"/>
        <v>2.2650631782146435E-2</v>
      </c>
    </row>
    <row r="23" spans="2:49" ht="12.75" customHeight="1" x14ac:dyDescent="0.25">
      <c r="B23" s="8" t="s">
        <v>44</v>
      </c>
      <c r="C23" s="3" t="s">
        <v>19</v>
      </c>
      <c r="D23" s="42">
        <v>0.08</v>
      </c>
      <c r="E23" s="245"/>
      <c r="F23" s="47"/>
      <c r="G23" s="47"/>
      <c r="H23" s="4" t="s">
        <v>209</v>
      </c>
      <c r="I23" s="223"/>
      <c r="J23" s="315" t="s">
        <v>237</v>
      </c>
      <c r="K23" s="224"/>
      <c r="L23" s="223"/>
      <c r="M23" s="223"/>
      <c r="N23" s="225"/>
      <c r="O23" s="7" t="s">
        <v>1</v>
      </c>
      <c r="P23" s="47"/>
      <c r="AF23" s="144" t="s">
        <v>182</v>
      </c>
      <c r="AG23" s="140">
        <v>0.115</v>
      </c>
      <c r="AH23" s="13">
        <v>-2148091.7582854033</v>
      </c>
      <c r="AI23" s="133">
        <v>-2148604.6604625955</v>
      </c>
      <c r="AJ23" s="146">
        <v>-2149174.5517705753</v>
      </c>
      <c r="AK23" s="134">
        <v>-2149807.764334891</v>
      </c>
      <c r="AL23" s="134">
        <v>-2144098.7794320285</v>
      </c>
      <c r="AS23" s="147">
        <f t="shared" si="1"/>
        <v>-5.038183074892455E-4</v>
      </c>
      <c r="AT23" s="147">
        <f t="shared" si="1"/>
        <v>-2.6516753025496165E-4</v>
      </c>
      <c r="AU23" s="147">
        <f t="shared" si="1"/>
        <v>0</v>
      </c>
      <c r="AV23" s="147">
        <f t="shared" si="1"/>
        <v>2.94630589122713E-4</v>
      </c>
      <c r="AW23" s="147">
        <f t="shared" si="1"/>
        <v>-2.3617310815285952E-3</v>
      </c>
    </row>
    <row r="24" spans="2:49" ht="12.75" customHeight="1" thickBot="1" x14ac:dyDescent="0.3">
      <c r="B24" s="8"/>
      <c r="D24" s="9"/>
      <c r="E24" s="47"/>
      <c r="F24" s="47"/>
      <c r="G24" s="237"/>
      <c r="H24" s="10" t="s">
        <v>4</v>
      </c>
      <c r="I24" s="11"/>
      <c r="J24" s="11" t="s">
        <v>5</v>
      </c>
      <c r="K24" s="12" t="s">
        <v>74</v>
      </c>
      <c r="L24" s="12" t="s">
        <v>75</v>
      </c>
      <c r="M24" s="12" t="s">
        <v>76</v>
      </c>
      <c r="N24" s="12" t="s">
        <v>77</v>
      </c>
      <c r="P24" s="47"/>
      <c r="AF24" s="8"/>
      <c r="AG24" s="140">
        <f>AG23+0.005</f>
        <v>0.12000000000000001</v>
      </c>
      <c r="AH24" s="13">
        <v>-290595.0794480145</v>
      </c>
      <c r="AI24" s="135">
        <v>-251282.51228550076</v>
      </c>
      <c r="AJ24" s="136">
        <v>-207601.88210494071</v>
      </c>
      <c r="AK24" s="137">
        <v>-159067.84857087582</v>
      </c>
      <c r="AL24" s="134">
        <v>-98143.594452418387</v>
      </c>
      <c r="AS24" s="147">
        <f t="shared" si="1"/>
        <v>0.3997709293460141</v>
      </c>
      <c r="AT24" s="147">
        <f t="shared" si="1"/>
        <v>0.21040575228735126</v>
      </c>
      <c r="AU24" s="147">
        <f t="shared" si="1"/>
        <v>0</v>
      </c>
      <c r="AV24" s="147">
        <f t="shared" si="1"/>
        <v>-0.23378416920869438</v>
      </c>
      <c r="AW24" s="147">
        <f t="shared" si="1"/>
        <v>-0.52725094080405421</v>
      </c>
    </row>
    <row r="25" spans="2:49" ht="12.75" customHeight="1" thickBot="1" x14ac:dyDescent="0.3">
      <c r="B25" s="8" t="s">
        <v>45</v>
      </c>
      <c r="C25" s="3" t="s">
        <v>19</v>
      </c>
      <c r="D25" s="38">
        <v>2E-3</v>
      </c>
      <c r="E25" s="47"/>
      <c r="F25" s="47"/>
      <c r="G25" s="237"/>
      <c r="H25" s="15" t="s">
        <v>11</v>
      </c>
      <c r="J25" s="16" t="s">
        <v>12</v>
      </c>
      <c r="K25" s="17">
        <v>14500000</v>
      </c>
      <c r="L25" s="17">
        <v>14500000</v>
      </c>
      <c r="M25" s="17">
        <v>14500000</v>
      </c>
      <c r="N25" s="17">
        <v>14500000</v>
      </c>
      <c r="P25" s="18"/>
      <c r="AF25" s="25"/>
      <c r="AG25" s="143">
        <f>AG24+0.005</f>
        <v>0.125</v>
      </c>
      <c r="AH25" s="136">
        <v>1670969.433303833</v>
      </c>
      <c r="AI25" s="136">
        <v>1753811.3611798212</v>
      </c>
      <c r="AJ25" s="136">
        <v>1845857.9477086961</v>
      </c>
      <c r="AK25" s="136">
        <v>1948131.9327408895</v>
      </c>
      <c r="AL25" s="137">
        <v>2069390.8312081471</v>
      </c>
      <c r="AS25" s="147">
        <f t="shared" si="1"/>
        <v>-9.4746464440536249E-2</v>
      </c>
      <c r="AT25" s="147">
        <f t="shared" si="1"/>
        <v>-4.9866560231860979E-2</v>
      </c>
      <c r="AU25" s="147">
        <f t="shared" si="1"/>
        <v>0</v>
      </c>
      <c r="AV25" s="147">
        <f t="shared" si="1"/>
        <v>5.5407289146571781E-2</v>
      </c>
      <c r="AW25" s="147">
        <f t="shared" si="1"/>
        <v>0.12109972155599902</v>
      </c>
    </row>
    <row r="26" spans="2:49" ht="12.75" customHeight="1" thickBot="1" x14ac:dyDescent="0.3">
      <c r="B26" s="8" t="s">
        <v>46</v>
      </c>
      <c r="C26" s="3" t="s">
        <v>12</v>
      </c>
      <c r="D26" s="44">
        <f>-Покупка!E13</f>
        <v>21800</v>
      </c>
      <c r="E26" s="47"/>
      <c r="F26" s="47"/>
      <c r="G26" s="47"/>
      <c r="H26" s="15" t="s">
        <v>15</v>
      </c>
      <c r="J26" s="16" t="s">
        <v>12</v>
      </c>
      <c r="K26" s="17">
        <v>0</v>
      </c>
      <c r="L26" s="17">
        <v>0</v>
      </c>
      <c r="M26" s="17">
        <v>0</v>
      </c>
      <c r="N26" s="17">
        <v>0</v>
      </c>
      <c r="P26" s="18"/>
    </row>
    <row r="27" spans="2:49" ht="12.75" customHeight="1" x14ac:dyDescent="0.25">
      <c r="B27" s="8"/>
      <c r="D27" s="9"/>
      <c r="E27" s="47"/>
      <c r="F27" s="47"/>
      <c r="G27" s="242"/>
      <c r="H27" s="15" t="s">
        <v>17</v>
      </c>
      <c r="J27" s="22" t="s">
        <v>18</v>
      </c>
      <c r="K27" s="23">
        <v>20</v>
      </c>
      <c r="L27" s="23">
        <v>20</v>
      </c>
      <c r="M27" s="23">
        <v>20</v>
      </c>
      <c r="N27" s="23">
        <v>20</v>
      </c>
      <c r="P27" s="115"/>
      <c r="AF27" s="130"/>
      <c r="AG27" s="141"/>
      <c r="AH27" s="317" t="s">
        <v>184</v>
      </c>
      <c r="AI27" s="317"/>
      <c r="AJ27" s="317"/>
      <c r="AK27" s="317"/>
      <c r="AL27" s="318"/>
    </row>
    <row r="28" spans="2:49" ht="12.75" customHeight="1" x14ac:dyDescent="0.25">
      <c r="B28" s="8" t="s">
        <v>47</v>
      </c>
      <c r="C28" s="3" t="s">
        <v>37</v>
      </c>
      <c r="D28" s="43">
        <v>0</v>
      </c>
      <c r="E28" s="47"/>
      <c r="F28" s="47"/>
      <c r="G28" s="242"/>
      <c r="H28" s="8"/>
      <c r="J28" s="3"/>
      <c r="K28" s="9"/>
      <c r="L28" s="9"/>
      <c r="M28" s="9"/>
      <c r="N28" s="9"/>
      <c r="P28" s="247"/>
      <c r="AF28" s="145"/>
      <c r="AG28" s="139">
        <f>C63</f>
        <v>11306779.30424165</v>
      </c>
      <c r="AH28" s="138">
        <v>0.05</v>
      </c>
      <c r="AI28" s="138">
        <v>0.08</v>
      </c>
      <c r="AJ28" s="138">
        <v>0.11</v>
      </c>
      <c r="AK28" s="138">
        <v>0.14000000000000001</v>
      </c>
      <c r="AL28" s="142">
        <v>0.17</v>
      </c>
    </row>
    <row r="29" spans="2:49" ht="12.75" customHeight="1" thickBot="1" x14ac:dyDescent="0.3">
      <c r="B29" s="8" t="s">
        <v>48</v>
      </c>
      <c r="C29" s="3" t="s">
        <v>37</v>
      </c>
      <c r="D29" s="43">
        <v>0</v>
      </c>
      <c r="E29" s="47"/>
      <c r="F29" s="47"/>
      <c r="G29" s="47" t="s">
        <v>229</v>
      </c>
      <c r="H29" s="15" t="s">
        <v>188</v>
      </c>
      <c r="J29" s="16" t="s">
        <v>19</v>
      </c>
      <c r="K29" s="27">
        <v>0.09</v>
      </c>
      <c r="L29" s="27">
        <v>0.09</v>
      </c>
      <c r="M29" s="27">
        <v>0.09</v>
      </c>
      <c r="N29" s="27">
        <v>0.09</v>
      </c>
      <c r="P29" s="248"/>
      <c r="AF29" s="133"/>
      <c r="AG29" s="140">
        <v>0.05</v>
      </c>
      <c r="AH29" s="13">
        <f t="dataTable" ref="AH29:AL33" dt2D="1" dtr="1" r1="D15" r2="D58" ca="1"/>
        <v>-26825728.389685865</v>
      </c>
      <c r="AI29" s="13">
        <v>-23914320.726081651</v>
      </c>
      <c r="AJ29" s="13">
        <v>-20662812.344518133</v>
      </c>
      <c r="AK29" s="13">
        <v>-17141242.04456871</v>
      </c>
      <c r="AL29" s="134">
        <v>-13393671.389498502</v>
      </c>
      <c r="AS29" s="147">
        <f t="shared" ref="AS29:AW33" si="2">AH29/$AJ29 -1</f>
        <v>0.29826124064872328</v>
      </c>
      <c r="AT29" s="147">
        <f t="shared" si="2"/>
        <v>0.15736039834994431</v>
      </c>
      <c r="AU29" s="147">
        <f t="shared" si="2"/>
        <v>0</v>
      </c>
      <c r="AV29" s="147">
        <f t="shared" si="2"/>
        <v>-0.17043034806845636</v>
      </c>
      <c r="AW29" s="147">
        <f t="shared" si="2"/>
        <v>-0.35179823703660273</v>
      </c>
    </row>
    <row r="30" spans="2:49" ht="12.75" customHeight="1" x14ac:dyDescent="0.25">
      <c r="B30" s="8" t="s">
        <v>49</v>
      </c>
      <c r="C30" s="3" t="s">
        <v>37</v>
      </c>
      <c r="D30" s="43">
        <v>0</v>
      </c>
      <c r="E30" s="47"/>
      <c r="F30" s="47"/>
      <c r="G30" s="241"/>
      <c r="H30" s="15" t="s">
        <v>191</v>
      </c>
      <c r="J30" s="16" t="s">
        <v>19</v>
      </c>
      <c r="K30" s="27">
        <v>0</v>
      </c>
      <c r="L30" s="27">
        <v>0</v>
      </c>
      <c r="M30" s="27">
        <v>3.5000000000000003E-2</v>
      </c>
      <c r="N30" s="27">
        <v>3.5000000000000003E-2</v>
      </c>
      <c r="P30" s="248"/>
      <c r="AF30" s="8"/>
      <c r="AG30" s="140">
        <v>0.08</v>
      </c>
      <c r="AH30" s="13">
        <v>-22177663.974940382</v>
      </c>
      <c r="AI30" s="130">
        <v>-18567452.406039756</v>
      </c>
      <c r="AJ30" s="131">
        <v>-14501677.380198054</v>
      </c>
      <c r="AK30" s="132">
        <v>-10085495.570775665</v>
      </c>
      <c r="AL30" s="134">
        <v>-5379156.0290613994</v>
      </c>
      <c r="AS30" s="147">
        <f t="shared" si="2"/>
        <v>0.52931715369863608</v>
      </c>
      <c r="AT30" s="147">
        <f t="shared" si="2"/>
        <v>0.28036584453281876</v>
      </c>
      <c r="AU30" s="147">
        <f t="shared" si="2"/>
        <v>0</v>
      </c>
      <c r="AV30" s="147">
        <f t="shared" si="2"/>
        <v>-0.3045290343758893</v>
      </c>
      <c r="AW30" s="147">
        <f t="shared" si="2"/>
        <v>-0.62906663222237991</v>
      </c>
    </row>
    <row r="31" spans="2:49" ht="12.75" customHeight="1" x14ac:dyDescent="0.25">
      <c r="B31" s="8" t="s">
        <v>50</v>
      </c>
      <c r="C31" s="3" t="s">
        <v>37</v>
      </c>
      <c r="D31" s="44">
        <f>SUM(D28:D30)</f>
        <v>0</v>
      </c>
      <c r="E31" s="47"/>
      <c r="F31" s="47"/>
      <c r="G31" s="242"/>
      <c r="H31" s="8" t="s">
        <v>22</v>
      </c>
      <c r="J31" s="3" t="s">
        <v>23</v>
      </c>
      <c r="K31" s="30" t="s">
        <v>24</v>
      </c>
      <c r="L31" s="30" t="s">
        <v>24</v>
      </c>
      <c r="M31" s="30" t="s">
        <v>24</v>
      </c>
      <c r="N31" s="30" t="s">
        <v>71</v>
      </c>
      <c r="P31" s="247"/>
      <c r="AF31" s="144" t="s">
        <v>182</v>
      </c>
      <c r="AG31" s="140">
        <v>0.11</v>
      </c>
      <c r="AH31" s="13">
        <v>-15422897.033338785</v>
      </c>
      <c r="AI31" s="133">
        <v>-10913929.36930237</v>
      </c>
      <c r="AJ31" s="146">
        <v>-5797386.860894274</v>
      </c>
      <c r="AK31" s="134">
        <v>-223052.04450972378</v>
      </c>
      <c r="AL31" s="134">
        <v>5726970.2654209882</v>
      </c>
      <c r="AS31" s="147">
        <f t="shared" si="2"/>
        <v>1.6603187614358603</v>
      </c>
      <c r="AT31" s="147">
        <f t="shared" si="2"/>
        <v>0.88256013117241672</v>
      </c>
      <c r="AU31" s="147">
        <f t="shared" si="2"/>
        <v>0</v>
      </c>
      <c r="AV31" s="147">
        <f t="shared" si="2"/>
        <v>-0.96152541656064039</v>
      </c>
      <c r="AW31" s="147">
        <f t="shared" si="2"/>
        <v>-1.987853735284034</v>
      </c>
    </row>
    <row r="32" spans="2:49" ht="12.75" customHeight="1" thickBot="1" x14ac:dyDescent="0.3">
      <c r="B32" s="8"/>
      <c r="D32" s="44"/>
      <c r="E32" s="47"/>
      <c r="F32" s="47"/>
      <c r="G32" s="47"/>
      <c r="H32" s="8" t="s">
        <v>26</v>
      </c>
      <c r="J32" s="3" t="s">
        <v>27</v>
      </c>
      <c r="K32" s="31">
        <v>0.3</v>
      </c>
      <c r="L32" s="31">
        <v>0.2</v>
      </c>
      <c r="M32" s="31">
        <v>0.2</v>
      </c>
      <c r="N32" s="31">
        <v>0.2</v>
      </c>
      <c r="P32" s="249"/>
      <c r="AF32" s="8"/>
      <c r="AG32" s="140">
        <v>0.14000000000000001</v>
      </c>
      <c r="AH32" s="13">
        <v>-5696117.2717492357</v>
      </c>
      <c r="AI32" s="135">
        <v>-30254.093516901135</v>
      </c>
      <c r="AJ32" s="136">
        <v>6442097.0248631388</v>
      </c>
      <c r="AK32" s="137">
        <v>13515253.106125876</v>
      </c>
      <c r="AL32" s="134">
        <v>21077952.787535064</v>
      </c>
      <c r="AS32" s="147">
        <f t="shared" si="2"/>
        <v>-1.8842023412198219</v>
      </c>
      <c r="AT32" s="147">
        <f t="shared" si="2"/>
        <v>-1.0046963113719238</v>
      </c>
      <c r="AU32" s="147">
        <f t="shared" si="2"/>
        <v>0</v>
      </c>
      <c r="AV32" s="147">
        <f t="shared" si="2"/>
        <v>1.0979586389282932</v>
      </c>
      <c r="AW32" s="147">
        <f t="shared" si="2"/>
        <v>2.2719086201566268</v>
      </c>
    </row>
    <row r="33" spans="1:51" ht="12.75" customHeight="1" thickBot="1" x14ac:dyDescent="0.3">
      <c r="B33" s="15" t="s">
        <v>51</v>
      </c>
      <c r="C33" s="16" t="s">
        <v>12</v>
      </c>
      <c r="D33" s="17">
        <v>500000</v>
      </c>
      <c r="E33" s="47"/>
      <c r="F33" s="47"/>
      <c r="G33" s="47"/>
      <c r="H33" s="8" t="s">
        <v>28</v>
      </c>
      <c r="J33" s="3" t="s">
        <v>12</v>
      </c>
      <c r="K33" s="32">
        <f>K25*K32</f>
        <v>4350000</v>
      </c>
      <c r="L33" s="32">
        <f>L25*L32</f>
        <v>2900000</v>
      </c>
      <c r="M33" s="32">
        <f>M25*M32</f>
        <v>2900000</v>
      </c>
      <c r="N33" s="32">
        <f>N25*N32</f>
        <v>2900000</v>
      </c>
      <c r="P33" s="250"/>
      <c r="AF33" s="25"/>
      <c r="AG33" s="143">
        <v>0.17</v>
      </c>
      <c r="AH33" s="136">
        <v>8189320.2720325962</v>
      </c>
      <c r="AI33" s="136">
        <v>15344606.805413269</v>
      </c>
      <c r="AJ33" s="136">
        <v>23565196.560979635</v>
      </c>
      <c r="AK33" s="136">
        <v>32576266.235046759</v>
      </c>
      <c r="AL33" s="137">
        <v>42228092.181637093</v>
      </c>
      <c r="AS33" s="147">
        <f t="shared" si="2"/>
        <v>-0.65248241189751588</v>
      </c>
      <c r="AT33" s="147">
        <f t="shared" si="2"/>
        <v>-0.34884452307851344</v>
      </c>
      <c r="AU33" s="147">
        <f t="shared" si="2"/>
        <v>0</v>
      </c>
      <c r="AV33" s="147">
        <f t="shared" si="2"/>
        <v>0.3823889035149437</v>
      </c>
      <c r="AW33" s="147">
        <f t="shared" si="2"/>
        <v>0.79196859539717845</v>
      </c>
    </row>
    <row r="34" spans="1:51" ht="12.75" customHeight="1" x14ac:dyDescent="0.25">
      <c r="B34" s="8" t="s">
        <v>52</v>
      </c>
      <c r="C34" s="16" t="s">
        <v>27</v>
      </c>
      <c r="D34" s="45">
        <v>0.03</v>
      </c>
      <c r="H34" s="15" t="s">
        <v>31</v>
      </c>
      <c r="J34" s="16" t="s">
        <v>12</v>
      </c>
      <c r="K34" s="36">
        <f>K25-K33</f>
        <v>10150000</v>
      </c>
      <c r="L34" s="36">
        <f>L25-L33</f>
        <v>11600000</v>
      </c>
      <c r="M34" s="36">
        <f>M25-M33</f>
        <v>11600000</v>
      </c>
      <c r="N34" s="36">
        <f>N25-N33</f>
        <v>11600000</v>
      </c>
      <c r="P34" s="251"/>
    </row>
    <row r="35" spans="1:51" ht="12.75" customHeight="1" thickBot="1" x14ac:dyDescent="0.3">
      <c r="B35" s="8"/>
      <c r="D35" s="9"/>
      <c r="H35" s="8" t="s">
        <v>33</v>
      </c>
      <c r="J35" s="3" t="s">
        <v>19</v>
      </c>
      <c r="K35" s="38">
        <v>0.12</v>
      </c>
      <c r="L35" s="38">
        <v>0.06</v>
      </c>
      <c r="M35" s="38">
        <v>0.06</v>
      </c>
      <c r="N35" s="38">
        <v>0.06</v>
      </c>
      <c r="P35" s="252"/>
    </row>
    <row r="36" spans="1:51" ht="12.75" customHeight="1" x14ac:dyDescent="0.25">
      <c r="B36" s="8" t="s">
        <v>53</v>
      </c>
      <c r="C36" s="3" t="s">
        <v>23</v>
      </c>
      <c r="D36" s="30" t="s">
        <v>24</v>
      </c>
      <c r="H36" s="8" t="s">
        <v>35</v>
      </c>
      <c r="J36" s="3" t="s">
        <v>18</v>
      </c>
      <c r="K36" s="39">
        <v>20</v>
      </c>
      <c r="L36" s="39">
        <v>20</v>
      </c>
      <c r="M36" s="39">
        <v>20</v>
      </c>
      <c r="N36" s="39">
        <v>20</v>
      </c>
      <c r="P36" s="247"/>
      <c r="AF36" s="130"/>
      <c r="AG36" s="141"/>
      <c r="AH36" s="317" t="s">
        <v>185</v>
      </c>
      <c r="AI36" s="317"/>
      <c r="AJ36" s="317"/>
      <c r="AK36" s="317"/>
      <c r="AL36" s="318"/>
    </row>
    <row r="37" spans="1:51" ht="12.75" customHeight="1" x14ac:dyDescent="0.25">
      <c r="B37" s="8" t="s">
        <v>54</v>
      </c>
      <c r="C37" s="3" t="s">
        <v>27</v>
      </c>
      <c r="D37" s="46">
        <v>0.13</v>
      </c>
      <c r="H37" s="8" t="s">
        <v>32</v>
      </c>
      <c r="J37" s="3" t="s">
        <v>37</v>
      </c>
      <c r="K37" s="216">
        <f>-Ипотека!P26</f>
        <v>0</v>
      </c>
      <c r="L37" s="216">
        <f>-Ипотека!Q26</f>
        <v>0</v>
      </c>
      <c r="M37" s="216">
        <f>-Ипотека!R26</f>
        <v>0</v>
      </c>
      <c r="N37" s="216">
        <f>-Ипотека!S26</f>
        <v>0</v>
      </c>
      <c r="P37" s="253"/>
      <c r="AF37" s="145"/>
      <c r="AG37" s="139">
        <f>Q15</f>
        <v>0</v>
      </c>
      <c r="AH37" s="138">
        <v>0.05</v>
      </c>
      <c r="AI37" s="138">
        <v>0.08</v>
      </c>
      <c r="AJ37" s="138">
        <v>0.11</v>
      </c>
      <c r="AK37" s="138">
        <v>0.14000000000000001</v>
      </c>
      <c r="AL37" s="142">
        <v>0.17</v>
      </c>
    </row>
    <row r="38" spans="1:51" ht="12.75" customHeight="1" thickBot="1" x14ac:dyDescent="0.3">
      <c r="B38" s="8" t="s">
        <v>55</v>
      </c>
      <c r="C38" s="3" t="s">
        <v>12</v>
      </c>
      <c r="D38" s="40">
        <f>IF(D5&gt;'Налоговые вычеты'!$E$3,'Налоговые вычеты'!$E$3*D37,D5*D37)</f>
        <v>260000</v>
      </c>
      <c r="H38" s="8"/>
      <c r="J38" s="3"/>
      <c r="K38" s="9"/>
      <c r="L38" s="9"/>
      <c r="M38" s="9"/>
      <c r="N38" s="9"/>
      <c r="P38" s="247"/>
      <c r="AF38" s="133"/>
      <c r="AG38" s="140">
        <v>0.05</v>
      </c>
      <c r="AH38" s="13">
        <f t="dataTable" ref="AH38:AL42" dt2D="1" dtr="1" r1="D9" r2="D15"/>
        <v>0</v>
      </c>
      <c r="AI38" s="13">
        <v>0</v>
      </c>
      <c r="AJ38" s="13">
        <v>0</v>
      </c>
      <c r="AK38" s="13">
        <v>0</v>
      </c>
      <c r="AL38" s="134">
        <v>0</v>
      </c>
    </row>
    <row r="39" spans="1:51" ht="12.75" customHeight="1" x14ac:dyDescent="0.25">
      <c r="B39" s="8" t="s">
        <v>56</v>
      </c>
      <c r="C39" s="3" t="s">
        <v>12</v>
      </c>
      <c r="D39" s="40">
        <f>IF((SUM(Ипотека!M11:M612)*-1)&gt;'Налоговые вычеты'!$E$4,'Налоговые вычеты'!$E$4*Вводные!$D$37,(SUM(Ипотека!M11:M612)*-1)*Вводные!$D$37)</f>
        <v>390000</v>
      </c>
      <c r="H39" s="8" t="s">
        <v>38</v>
      </c>
      <c r="J39" s="3" t="s">
        <v>23</v>
      </c>
      <c r="K39" s="30" t="s">
        <v>24</v>
      </c>
      <c r="L39" s="30" t="s">
        <v>24</v>
      </c>
      <c r="M39" s="30" t="s">
        <v>24</v>
      </c>
      <c r="N39" s="30" t="s">
        <v>24</v>
      </c>
      <c r="P39" s="247"/>
      <c r="AF39" s="8"/>
      <c r="AG39" s="140">
        <v>0.08</v>
      </c>
      <c r="AH39" s="13">
        <v>0</v>
      </c>
      <c r="AI39" s="130">
        <v>0</v>
      </c>
      <c r="AJ39" s="131">
        <v>0</v>
      </c>
      <c r="AK39" s="132">
        <v>0</v>
      </c>
      <c r="AL39" s="134">
        <v>0</v>
      </c>
    </row>
    <row r="40" spans="1:51" ht="12.75" customHeight="1" x14ac:dyDescent="0.25">
      <c r="B40" s="8"/>
      <c r="D40" s="9"/>
      <c r="H40" s="8" t="s">
        <v>39</v>
      </c>
      <c r="J40" s="3" t="s">
        <v>23</v>
      </c>
      <c r="K40" s="30" t="s">
        <v>24</v>
      </c>
      <c r="L40" s="30" t="s">
        <v>24</v>
      </c>
      <c r="M40" s="30" t="s">
        <v>24</v>
      </c>
      <c r="N40" s="30" t="s">
        <v>24</v>
      </c>
      <c r="P40" s="247"/>
      <c r="AF40" s="144" t="s">
        <v>27</v>
      </c>
      <c r="AG40" s="140">
        <v>0.11</v>
      </c>
      <c r="AH40" s="13">
        <v>0</v>
      </c>
      <c r="AI40" s="133">
        <v>0</v>
      </c>
      <c r="AJ40" s="146">
        <v>0</v>
      </c>
      <c r="AK40" s="134">
        <v>0</v>
      </c>
      <c r="AL40" s="134">
        <v>0</v>
      </c>
    </row>
    <row r="41" spans="1:51" ht="12.75" customHeight="1" thickBot="1" x14ac:dyDescent="0.3">
      <c r="A41" s="47"/>
      <c r="B41" s="10" t="s">
        <v>57</v>
      </c>
      <c r="C41" s="11" t="s">
        <v>5</v>
      </c>
      <c r="D41" s="12" t="s">
        <v>6</v>
      </c>
      <c r="E41" s="47"/>
      <c r="F41" s="37"/>
      <c r="H41" s="8" t="s">
        <v>40</v>
      </c>
      <c r="J41" s="3" t="s">
        <v>19</v>
      </c>
      <c r="K41" s="38">
        <v>2E-3</v>
      </c>
      <c r="L41" s="38">
        <v>2E-3</v>
      </c>
      <c r="M41" s="38">
        <v>2E-3</v>
      </c>
      <c r="N41" s="38">
        <v>2E-3</v>
      </c>
      <c r="P41" s="252"/>
      <c r="AF41" s="8"/>
      <c r="AG41" s="140">
        <v>0.14000000000000001</v>
      </c>
      <c r="AH41" s="13">
        <v>0</v>
      </c>
      <c r="AI41" s="135">
        <v>0</v>
      </c>
      <c r="AJ41" s="136">
        <v>0</v>
      </c>
      <c r="AK41" s="137">
        <v>0</v>
      </c>
      <c r="AL41" s="134">
        <v>0</v>
      </c>
    </row>
    <row r="42" spans="1:51" ht="12.75" customHeight="1" thickBot="1" x14ac:dyDescent="0.3">
      <c r="B42" s="15" t="s">
        <v>58</v>
      </c>
      <c r="C42" s="16" t="s">
        <v>12</v>
      </c>
      <c r="D42" s="48">
        <f>IF(D11="Нет",D5+D33+Аренда!D9+D6+Аренда!D10,D13+D33+Аренда!D9+D6+Аренда!D10)</f>
        <v>3500000</v>
      </c>
      <c r="F42" s="220"/>
      <c r="H42" s="8" t="s">
        <v>41</v>
      </c>
      <c r="J42" s="3" t="s">
        <v>42</v>
      </c>
      <c r="K42" s="39">
        <v>40000</v>
      </c>
      <c r="L42" s="39">
        <v>40000</v>
      </c>
      <c r="M42" s="39">
        <v>40000</v>
      </c>
      <c r="N42" s="39">
        <v>40000</v>
      </c>
      <c r="P42" s="247"/>
      <c r="AF42" s="25"/>
      <c r="AG42" s="143">
        <v>0.17</v>
      </c>
      <c r="AH42" s="136">
        <v>0</v>
      </c>
      <c r="AI42" s="136">
        <v>0</v>
      </c>
      <c r="AJ42" s="136">
        <v>0</v>
      </c>
      <c r="AK42" s="136">
        <v>0</v>
      </c>
      <c r="AL42" s="137">
        <v>0</v>
      </c>
    </row>
    <row r="43" spans="1:51" ht="12.75" customHeight="1" x14ac:dyDescent="0.25">
      <c r="B43" s="15" t="s">
        <v>59</v>
      </c>
      <c r="C43" s="3" t="s">
        <v>23</v>
      </c>
      <c r="D43" s="49" t="s">
        <v>71</v>
      </c>
      <c r="G43" s="96"/>
      <c r="H43" s="8" t="s">
        <v>44</v>
      </c>
      <c r="J43" s="3" t="s">
        <v>19</v>
      </c>
      <c r="K43" s="42">
        <v>0.08</v>
      </c>
      <c r="L43" s="42">
        <v>0.08</v>
      </c>
      <c r="M43" s="42">
        <v>0.08</v>
      </c>
      <c r="N43" s="42">
        <v>0.08</v>
      </c>
      <c r="P43" s="254"/>
    </row>
    <row r="44" spans="1:51" ht="12.75" customHeight="1" thickBot="1" x14ac:dyDescent="0.3">
      <c r="B44" s="15" t="str">
        <f>IF(D43="Да","Средняя арендная плата","Ежемесячные расходы")</f>
        <v>Ежемесячные расходы</v>
      </c>
      <c r="C44" s="16" t="s">
        <v>37</v>
      </c>
      <c r="D44" s="50">
        <v>0</v>
      </c>
      <c r="E44" s="51"/>
      <c r="G44" s="217"/>
      <c r="H44" s="8"/>
      <c r="J44" s="3"/>
      <c r="K44" s="9"/>
      <c r="L44" s="9"/>
      <c r="M44" s="9"/>
      <c r="N44" s="9"/>
      <c r="O44" s="13"/>
      <c r="P44" s="247"/>
    </row>
    <row r="45" spans="1:51" ht="12.75" customHeight="1" x14ac:dyDescent="0.25">
      <c r="B45" s="8" t="s">
        <v>60</v>
      </c>
      <c r="C45" s="16" t="s">
        <v>27</v>
      </c>
      <c r="D45" s="52">
        <f>D44*12/D5</f>
        <v>0</v>
      </c>
      <c r="E45" s="51"/>
      <c r="G45" s="37"/>
      <c r="H45" s="8" t="s">
        <v>45</v>
      </c>
      <c r="J45" s="3" t="s">
        <v>19</v>
      </c>
      <c r="K45" s="38">
        <v>2E-3</v>
      </c>
      <c r="L45" s="38">
        <v>2E-3</v>
      </c>
      <c r="M45" s="38">
        <v>2E-3</v>
      </c>
      <c r="N45" s="38">
        <v>2E-3</v>
      </c>
      <c r="O45" s="13"/>
      <c r="P45" s="252"/>
      <c r="AF45" s="130"/>
      <c r="AG45" s="141"/>
      <c r="AH45" s="317" t="s">
        <v>186</v>
      </c>
      <c r="AI45" s="317"/>
      <c r="AJ45" s="317"/>
      <c r="AK45" s="317"/>
      <c r="AL45" s="318"/>
      <c r="AS45" s="130"/>
      <c r="AT45" s="141"/>
      <c r="AU45" s="280" t="s">
        <v>187</v>
      </c>
      <c r="AV45" s="280"/>
      <c r="AW45" s="280"/>
      <c r="AX45" s="280"/>
      <c r="AY45" s="281"/>
    </row>
    <row r="46" spans="1:51" ht="12.75" customHeight="1" x14ac:dyDescent="0.25">
      <c r="B46" s="8" t="s">
        <v>47</v>
      </c>
      <c r="C46" s="3" t="s">
        <v>37</v>
      </c>
      <c r="D46" s="53">
        <v>7600</v>
      </c>
      <c r="H46" s="8" t="s">
        <v>46</v>
      </c>
      <c r="J46" s="3" t="s">
        <v>12</v>
      </c>
      <c r="K46" s="44">
        <f>-Покупка!L33</f>
        <v>0</v>
      </c>
      <c r="L46" s="44">
        <f>-Покупка!M33</f>
        <v>0</v>
      </c>
      <c r="M46" s="44">
        <f>-Покупка!N33</f>
        <v>0</v>
      </c>
      <c r="N46" s="44">
        <f>-Покупка!O33</f>
        <v>0</v>
      </c>
      <c r="P46" s="255"/>
      <c r="AF46" s="145"/>
      <c r="AG46" s="139">
        <f>C63</f>
        <v>11306779.30424165</v>
      </c>
      <c r="AH46" s="138">
        <v>0.02</v>
      </c>
      <c r="AI46" s="138">
        <v>0.04</v>
      </c>
      <c r="AJ46" s="138">
        <v>0.06</v>
      </c>
      <c r="AK46" s="138">
        <v>0.08</v>
      </c>
      <c r="AL46" s="142">
        <v>0.1</v>
      </c>
      <c r="AS46" s="145"/>
      <c r="AT46" s="139"/>
      <c r="AU46" s="153">
        <v>0.02</v>
      </c>
      <c r="AV46" s="111">
        <v>0.04</v>
      </c>
      <c r="AW46" s="111">
        <v>0.06</v>
      </c>
      <c r="AX46" s="111">
        <v>0.08</v>
      </c>
      <c r="AY46" s="151">
        <v>0.1</v>
      </c>
    </row>
    <row r="47" spans="1:51" ht="12.75" customHeight="1" thickBot="1" x14ac:dyDescent="0.3">
      <c r="B47" s="8" t="s">
        <v>61</v>
      </c>
      <c r="C47" s="3" t="s">
        <v>37</v>
      </c>
      <c r="D47" s="44">
        <f>SUM(D44:D46)</f>
        <v>7600</v>
      </c>
      <c r="H47" s="8"/>
      <c r="J47" s="3"/>
      <c r="K47" s="9"/>
      <c r="L47" s="9"/>
      <c r="M47" s="9"/>
      <c r="N47" s="9"/>
      <c r="P47" s="247"/>
      <c r="AF47" s="133"/>
      <c r="AG47" s="140">
        <v>7.0000000000000007E-2</v>
      </c>
      <c r="AH47" s="13">
        <f t="dataTable" ref="AH47:AL51" dt2D="1" dtr="1" r1="D54" r2="D15" ca="1"/>
        <v>106213.77843229473</v>
      </c>
      <c r="AI47" s="13">
        <v>106213.77843229473</v>
      </c>
      <c r="AJ47" s="13">
        <v>106213.77843229473</v>
      </c>
      <c r="AK47" s="13">
        <v>106213.77843229473</v>
      </c>
      <c r="AL47" s="134">
        <v>106213.77843229473</v>
      </c>
      <c r="AS47" s="133"/>
      <c r="AT47" s="111">
        <v>7.0000000000000007E-2</v>
      </c>
      <c r="AU47" s="152" t="str">
        <f t="shared" ref="AU47:AY51" si="3">IF(AH47&gt;0,"Аренда","Покупка")</f>
        <v>Аренда</v>
      </c>
      <c r="AV47" s="162" t="str">
        <f t="shared" si="3"/>
        <v>Аренда</v>
      </c>
      <c r="AW47" s="162" t="str">
        <f t="shared" si="3"/>
        <v>Аренда</v>
      </c>
      <c r="AX47" s="163" t="str">
        <f t="shared" si="3"/>
        <v>Аренда</v>
      </c>
      <c r="AY47" s="154" t="str">
        <f t="shared" si="3"/>
        <v>Аренда</v>
      </c>
    </row>
    <row r="48" spans="1:51" ht="12.75" customHeight="1" x14ac:dyDescent="0.25">
      <c r="B48" s="8"/>
      <c r="D48" s="44"/>
      <c r="H48" s="8" t="s">
        <v>47</v>
      </c>
      <c r="J48" s="3" t="s">
        <v>37</v>
      </c>
      <c r="K48" s="43">
        <v>7000</v>
      </c>
      <c r="L48" s="43">
        <v>7000</v>
      </c>
      <c r="M48" s="43">
        <v>0</v>
      </c>
      <c r="N48" s="43">
        <v>0</v>
      </c>
      <c r="P48" s="256"/>
      <c r="AF48" s="8"/>
      <c r="AG48" s="140">
        <v>0.1</v>
      </c>
      <c r="AH48" s="13">
        <v>6594686.7897351384</v>
      </c>
      <c r="AI48" s="130">
        <v>6594686.7897351384</v>
      </c>
      <c r="AJ48" s="131">
        <v>6594686.7897351384</v>
      </c>
      <c r="AK48" s="132">
        <v>6594686.7897351384</v>
      </c>
      <c r="AL48" s="134">
        <v>6594686.7897351384</v>
      </c>
      <c r="AS48" s="8"/>
      <c r="AT48" s="111">
        <v>0.1</v>
      </c>
      <c r="AU48" s="157" t="str">
        <f t="shared" si="3"/>
        <v>Аренда</v>
      </c>
      <c r="AV48" s="165" t="str">
        <f t="shared" si="3"/>
        <v>Аренда</v>
      </c>
      <c r="AW48" s="166" t="str">
        <f t="shared" si="3"/>
        <v>Аренда</v>
      </c>
      <c r="AX48" s="167" t="str">
        <f t="shared" si="3"/>
        <v>Аренда</v>
      </c>
      <c r="AY48" s="159" t="str">
        <f t="shared" si="3"/>
        <v>Аренда</v>
      </c>
    </row>
    <row r="49" spans="2:53" ht="12.75" customHeight="1" x14ac:dyDescent="0.25">
      <c r="B49" s="8" t="s">
        <v>62</v>
      </c>
      <c r="C49" s="3" t="s">
        <v>23</v>
      </c>
      <c r="D49" s="30" t="s">
        <v>24</v>
      </c>
      <c r="H49" s="8" t="s">
        <v>48</v>
      </c>
      <c r="J49" s="3" t="s">
        <v>37</v>
      </c>
      <c r="K49" s="43">
        <v>500</v>
      </c>
      <c r="L49" s="43">
        <v>500</v>
      </c>
      <c r="M49" s="43">
        <v>0</v>
      </c>
      <c r="N49" s="43">
        <v>0</v>
      </c>
      <c r="P49" s="256"/>
      <c r="AF49" s="144" t="s">
        <v>27</v>
      </c>
      <c r="AG49" s="140">
        <v>0.13</v>
      </c>
      <c r="AH49" s="13">
        <v>13764512.951742902</v>
      </c>
      <c r="AI49" s="133">
        <v>13764512.951742902</v>
      </c>
      <c r="AJ49" s="146">
        <v>13764512.951742902</v>
      </c>
      <c r="AK49" s="134">
        <v>13764512.951742902</v>
      </c>
      <c r="AL49" s="134">
        <v>13764512.951742902</v>
      </c>
      <c r="AS49" s="144" t="s">
        <v>27</v>
      </c>
      <c r="AT49" s="111">
        <v>0.13</v>
      </c>
      <c r="AU49" s="158" t="str">
        <f t="shared" si="3"/>
        <v>Аренда</v>
      </c>
      <c r="AV49" s="168" t="str">
        <f t="shared" si="3"/>
        <v>Аренда</v>
      </c>
      <c r="AW49" s="149" t="str">
        <f t="shared" si="3"/>
        <v>Аренда</v>
      </c>
      <c r="AX49" s="169" t="str">
        <f t="shared" si="3"/>
        <v>Аренда</v>
      </c>
      <c r="AY49" s="160" t="str">
        <f t="shared" si="3"/>
        <v>Аренда</v>
      </c>
    </row>
    <row r="50" spans="2:53" ht="12.75" customHeight="1" thickBot="1" x14ac:dyDescent="0.3">
      <c r="B50" s="8" t="s">
        <v>63</v>
      </c>
      <c r="C50" s="3" t="s">
        <v>27</v>
      </c>
      <c r="D50" s="42">
        <v>1</v>
      </c>
      <c r="H50" s="8" t="s">
        <v>49</v>
      </c>
      <c r="J50" s="3" t="s">
        <v>37</v>
      </c>
      <c r="K50" s="43">
        <v>100</v>
      </c>
      <c r="L50" s="43">
        <v>100</v>
      </c>
      <c r="M50" s="43">
        <v>0</v>
      </c>
      <c r="N50" s="43">
        <v>0</v>
      </c>
      <c r="P50" s="256"/>
      <c r="AF50" s="8"/>
      <c r="AG50" s="140">
        <v>0.16</v>
      </c>
      <c r="AH50" s="13">
        <v>21475484.069596067</v>
      </c>
      <c r="AI50" s="135">
        <v>21475484.069596067</v>
      </c>
      <c r="AJ50" s="136">
        <v>21475484.069596067</v>
      </c>
      <c r="AK50" s="137">
        <v>21475484.069596067</v>
      </c>
      <c r="AL50" s="134">
        <v>21475484.069596067</v>
      </c>
      <c r="AS50" s="8"/>
      <c r="AT50" s="111">
        <v>0.16</v>
      </c>
      <c r="AU50" s="158" t="str">
        <f t="shared" si="3"/>
        <v>Аренда</v>
      </c>
      <c r="AV50" s="170" t="str">
        <f t="shared" si="3"/>
        <v>Аренда</v>
      </c>
      <c r="AW50" s="171" t="str">
        <f t="shared" si="3"/>
        <v>Аренда</v>
      </c>
      <c r="AX50" s="172" t="str">
        <f t="shared" si="3"/>
        <v>Аренда</v>
      </c>
      <c r="AY50" s="161" t="str">
        <f t="shared" si="3"/>
        <v>Аренда</v>
      </c>
    </row>
    <row r="51" spans="2:53" ht="12.75" customHeight="1" thickBot="1" x14ac:dyDescent="0.3">
      <c r="B51" s="8" t="s">
        <v>64</v>
      </c>
      <c r="C51" s="16" t="s">
        <v>12</v>
      </c>
      <c r="D51" s="53">
        <v>30000</v>
      </c>
      <c r="H51" s="8" t="s">
        <v>50</v>
      </c>
      <c r="J51" s="3" t="s">
        <v>37</v>
      </c>
      <c r="K51" s="44">
        <f>SUM(K48:K50)</f>
        <v>7600</v>
      </c>
      <c r="L51" s="44">
        <f>SUM(L48:L50)</f>
        <v>7600</v>
      </c>
      <c r="M51" s="44">
        <f>SUM(M48:M50)</f>
        <v>0</v>
      </c>
      <c r="N51" s="44">
        <f>SUM(N48:N50)</f>
        <v>0</v>
      </c>
      <c r="P51" s="255"/>
      <c r="AF51" s="25"/>
      <c r="AG51" s="143">
        <v>0.19</v>
      </c>
      <c r="AH51" s="136">
        <v>29628218.767209508</v>
      </c>
      <c r="AI51" s="136">
        <v>29628218.767209508</v>
      </c>
      <c r="AJ51" s="136">
        <v>29628218.767209508</v>
      </c>
      <c r="AK51" s="136">
        <v>29628218.767209508</v>
      </c>
      <c r="AL51" s="137">
        <v>29628218.767209508</v>
      </c>
      <c r="AS51" s="25"/>
      <c r="AT51" s="150">
        <v>0.19</v>
      </c>
      <c r="AU51" s="154" t="str">
        <f t="shared" si="3"/>
        <v>Аренда</v>
      </c>
      <c r="AV51" s="164" t="str">
        <f t="shared" si="3"/>
        <v>Аренда</v>
      </c>
      <c r="AW51" s="164" t="str">
        <f t="shared" si="3"/>
        <v>Аренда</v>
      </c>
      <c r="AX51" s="164" t="str">
        <f t="shared" si="3"/>
        <v>Аренда</v>
      </c>
      <c r="AY51" s="154" t="str">
        <f t="shared" si="3"/>
        <v>Аренда</v>
      </c>
    </row>
    <row r="52" spans="2:53" ht="12.75" customHeight="1" thickBot="1" x14ac:dyDescent="0.3">
      <c r="B52" s="8"/>
      <c r="C52" s="16"/>
      <c r="D52" s="54"/>
      <c r="H52" s="8"/>
      <c r="J52" s="3"/>
      <c r="K52" s="44"/>
      <c r="L52" s="44"/>
      <c r="M52" s="44"/>
      <c r="N52" s="44"/>
      <c r="P52" s="255"/>
      <c r="AJ52" s="2" t="s">
        <v>186</v>
      </c>
    </row>
    <row r="53" spans="2:53" ht="12.75" customHeight="1" x14ac:dyDescent="0.25">
      <c r="B53" s="8" t="s">
        <v>65</v>
      </c>
      <c r="C53" s="3" t="s">
        <v>66</v>
      </c>
      <c r="D53" s="30" t="s">
        <v>27</v>
      </c>
      <c r="H53" s="15" t="s">
        <v>51</v>
      </c>
      <c r="J53" s="16" t="s">
        <v>12</v>
      </c>
      <c r="K53" s="17">
        <v>500000</v>
      </c>
      <c r="L53" s="17">
        <v>500000</v>
      </c>
      <c r="M53" s="17">
        <v>500000</v>
      </c>
      <c r="N53" s="17">
        <v>500000</v>
      </c>
      <c r="P53" s="18"/>
      <c r="AG53" s="130">
        <f>C63</f>
        <v>11306779.30424165</v>
      </c>
      <c r="AH53" s="177">
        <v>0.02</v>
      </c>
      <c r="AI53" s="177">
        <v>0.04</v>
      </c>
      <c r="AJ53" s="177">
        <v>0.06</v>
      </c>
      <c r="AK53" s="177">
        <v>0.08</v>
      </c>
      <c r="AL53" s="177">
        <v>0.1</v>
      </c>
      <c r="AM53" s="282">
        <v>0.12</v>
      </c>
      <c r="AN53" s="282">
        <v>0.14000000000000001</v>
      </c>
      <c r="AO53" s="178">
        <v>0.16</v>
      </c>
      <c r="AS53" s="288"/>
      <c r="AT53" s="283">
        <v>0.02</v>
      </c>
      <c r="AU53" s="283">
        <v>0.04</v>
      </c>
      <c r="AV53" s="283">
        <v>0.06</v>
      </c>
      <c r="AW53" s="283">
        <v>0.08</v>
      </c>
      <c r="AX53" s="283">
        <v>0.1</v>
      </c>
      <c r="AY53" s="284">
        <v>0.12</v>
      </c>
      <c r="AZ53" s="284">
        <v>0.14000000000000001</v>
      </c>
      <c r="BA53" s="285">
        <v>0.16</v>
      </c>
    </row>
    <row r="54" spans="2:53" ht="12.75" customHeight="1" x14ac:dyDescent="0.25">
      <c r="B54" s="8" t="s">
        <v>67</v>
      </c>
      <c r="C54" s="3" t="s">
        <v>19</v>
      </c>
      <c r="D54" s="38">
        <v>0.06</v>
      </c>
      <c r="H54" s="8" t="s">
        <v>52</v>
      </c>
      <c r="J54" s="16" t="s">
        <v>27</v>
      </c>
      <c r="K54" s="45">
        <v>0.03</v>
      </c>
      <c r="L54" s="45">
        <v>0.03</v>
      </c>
      <c r="M54" s="45">
        <v>0.03</v>
      </c>
      <c r="N54" s="45">
        <v>0.03</v>
      </c>
      <c r="P54" s="257"/>
      <c r="AG54" s="179">
        <v>0.02</v>
      </c>
      <c r="AH54" s="173">
        <f t="dataTable" ref="AH54:AO61" dt2D="1" dtr="1" r1="D54" r2="D15" ca="1"/>
        <v>-8437122.6855888478</v>
      </c>
      <c r="AI54" s="173">
        <v>-8437122.6855888478</v>
      </c>
      <c r="AJ54" s="173">
        <v>-8437122.6855888478</v>
      </c>
      <c r="AK54" s="173">
        <v>-8437122.6855888478</v>
      </c>
      <c r="AL54" s="173">
        <v>-8437122.6855888478</v>
      </c>
      <c r="AM54" s="173">
        <v>-8437122.6855888478</v>
      </c>
      <c r="AN54" s="173">
        <v>-8437122.6855888478</v>
      </c>
      <c r="AO54" s="174">
        <v>-8437122.6855888478</v>
      </c>
      <c r="AS54" s="286">
        <v>0.02</v>
      </c>
      <c r="AT54" s="173" t="str">
        <f>IF(AH54&gt;0,"Аренда","Покупка")</f>
        <v>Покупка</v>
      </c>
      <c r="AU54" s="173" t="str">
        <f t="shared" ref="AU54:BA61" si="4">IF(AI54&gt;0,"Аренда","Покупка")</f>
        <v>Покупка</v>
      </c>
      <c r="AV54" s="173" t="str">
        <f t="shared" si="4"/>
        <v>Покупка</v>
      </c>
      <c r="AW54" s="173" t="str">
        <f t="shared" si="4"/>
        <v>Покупка</v>
      </c>
      <c r="AX54" s="173" t="str">
        <f t="shared" si="4"/>
        <v>Покупка</v>
      </c>
      <c r="AY54" s="173" t="str">
        <f t="shared" si="4"/>
        <v>Покупка</v>
      </c>
      <c r="AZ54" s="173" t="str">
        <f t="shared" si="4"/>
        <v>Покупка</v>
      </c>
      <c r="BA54" s="174" t="str">
        <f t="shared" si="4"/>
        <v>Покупка</v>
      </c>
    </row>
    <row r="55" spans="2:53" ht="12.75" customHeight="1" x14ac:dyDescent="0.25">
      <c r="B55" s="8" t="s">
        <v>68</v>
      </c>
      <c r="C55" s="3" t="s">
        <v>42</v>
      </c>
      <c r="D55" s="53">
        <v>3000</v>
      </c>
      <c r="H55" s="8"/>
      <c r="J55" s="3"/>
      <c r="K55" s="9"/>
      <c r="L55" s="9"/>
      <c r="M55" s="9"/>
      <c r="N55" s="9"/>
      <c r="P55" s="247"/>
      <c r="AG55" s="179">
        <v>0.04</v>
      </c>
      <c r="AH55" s="173">
        <v>-5352872.9585076459</v>
      </c>
      <c r="AI55" s="173">
        <v>-5352872.9585076459</v>
      </c>
      <c r="AJ55" s="173">
        <v>-5352872.9585076459</v>
      </c>
      <c r="AK55" s="173">
        <v>-5352872.9585076459</v>
      </c>
      <c r="AL55" s="173">
        <v>-5352872.9585076459</v>
      </c>
      <c r="AM55" s="173">
        <v>-5352872.9585076459</v>
      </c>
      <c r="AN55" s="173">
        <v>-5352872.9585076459</v>
      </c>
      <c r="AO55" s="174">
        <v>-5352872.9585076459</v>
      </c>
      <c r="AS55" s="286">
        <v>0.04</v>
      </c>
      <c r="AT55" s="173" t="str">
        <f t="shared" ref="AT55:AT61" si="5">IF(AH55&gt;0,"Аренда","Покупка")</f>
        <v>Покупка</v>
      </c>
      <c r="AU55" s="173" t="str">
        <f t="shared" si="4"/>
        <v>Покупка</v>
      </c>
      <c r="AV55" s="173" t="str">
        <f t="shared" si="4"/>
        <v>Покупка</v>
      </c>
      <c r="AW55" s="173" t="str">
        <f t="shared" si="4"/>
        <v>Покупка</v>
      </c>
      <c r="AX55" s="173" t="str">
        <f t="shared" si="4"/>
        <v>Покупка</v>
      </c>
      <c r="AY55" s="173" t="str">
        <f t="shared" si="4"/>
        <v>Покупка</v>
      </c>
      <c r="AZ55" s="173" t="str">
        <f t="shared" si="4"/>
        <v>Покупка</v>
      </c>
      <c r="BA55" s="174" t="str">
        <f t="shared" si="4"/>
        <v>Покупка</v>
      </c>
    </row>
    <row r="56" spans="2:53" ht="12.75" customHeight="1" x14ac:dyDescent="0.25">
      <c r="B56" s="8"/>
      <c r="D56" s="9"/>
      <c r="H56" s="8" t="s">
        <v>53</v>
      </c>
      <c r="J56" s="3" t="s">
        <v>23</v>
      </c>
      <c r="K56" s="30" t="s">
        <v>24</v>
      </c>
      <c r="L56" s="30" t="s">
        <v>24</v>
      </c>
      <c r="M56" s="30" t="s">
        <v>24</v>
      </c>
      <c r="N56" s="30" t="s">
        <v>24</v>
      </c>
      <c r="P56" s="247"/>
      <c r="AG56" s="179">
        <v>0.06</v>
      </c>
      <c r="AH56" s="173">
        <v>-1867014.1999319717</v>
      </c>
      <c r="AI56" s="173">
        <v>-1867014.1999319717</v>
      </c>
      <c r="AJ56" s="173">
        <v>-1867014.1999319717</v>
      </c>
      <c r="AK56" s="173">
        <v>-1867014.1999319717</v>
      </c>
      <c r="AL56" s="173">
        <v>-1867014.1999319717</v>
      </c>
      <c r="AM56" s="173">
        <v>-1867014.1999319717</v>
      </c>
      <c r="AN56" s="173">
        <v>-1867014.1999319717</v>
      </c>
      <c r="AO56" s="174">
        <v>-1867014.1999319717</v>
      </c>
      <c r="AS56" s="286">
        <v>0.06</v>
      </c>
      <c r="AT56" s="173" t="str">
        <f t="shared" si="5"/>
        <v>Покупка</v>
      </c>
      <c r="AU56" s="173" t="str">
        <f t="shared" si="4"/>
        <v>Покупка</v>
      </c>
      <c r="AV56" s="173" t="str">
        <f t="shared" si="4"/>
        <v>Покупка</v>
      </c>
      <c r="AW56" s="173" t="str">
        <f t="shared" si="4"/>
        <v>Покупка</v>
      </c>
      <c r="AX56" s="173" t="str">
        <f t="shared" si="4"/>
        <v>Покупка</v>
      </c>
      <c r="AY56" s="173" t="str">
        <f t="shared" si="4"/>
        <v>Покупка</v>
      </c>
      <c r="AZ56" s="173" t="str">
        <f t="shared" si="4"/>
        <v>Покупка</v>
      </c>
      <c r="BA56" s="174" t="str">
        <f t="shared" si="4"/>
        <v>Покупка</v>
      </c>
    </row>
    <row r="57" spans="2:53" ht="12.75" customHeight="1" x14ac:dyDescent="0.25">
      <c r="B57" s="55" t="s">
        <v>69</v>
      </c>
      <c r="C57" s="11" t="s">
        <v>5</v>
      </c>
      <c r="D57" s="12" t="s">
        <v>6</v>
      </c>
      <c r="H57" s="8" t="s">
        <v>54</v>
      </c>
      <c r="J57" s="3" t="s">
        <v>27</v>
      </c>
      <c r="K57" s="46">
        <v>0.13</v>
      </c>
      <c r="L57" s="46">
        <v>0.13</v>
      </c>
      <c r="M57" s="46">
        <v>0.13</v>
      </c>
      <c r="N57" s="46">
        <v>0.13</v>
      </c>
      <c r="P57" s="254"/>
      <c r="AF57" s="16" t="s">
        <v>27</v>
      </c>
      <c r="AG57" s="179">
        <v>0.08</v>
      </c>
      <c r="AH57" s="173">
        <v>2180395.5216427445</v>
      </c>
      <c r="AI57" s="173">
        <v>2180395.5216427445</v>
      </c>
      <c r="AJ57" s="173">
        <v>2180395.5216427445</v>
      </c>
      <c r="AK57" s="173">
        <v>2180395.5216427445</v>
      </c>
      <c r="AL57" s="173">
        <v>2180395.5216427445</v>
      </c>
      <c r="AM57" s="173">
        <v>2180395.5216427445</v>
      </c>
      <c r="AN57" s="173">
        <v>2180395.5216427445</v>
      </c>
      <c r="AO57" s="174">
        <v>2180395.5216427445</v>
      </c>
      <c r="AS57" s="286">
        <v>0.08</v>
      </c>
      <c r="AT57" s="173" t="str">
        <f t="shared" si="5"/>
        <v>Аренда</v>
      </c>
      <c r="AU57" s="173" t="str">
        <f t="shared" si="4"/>
        <v>Аренда</v>
      </c>
      <c r="AV57" s="173" t="str">
        <f t="shared" si="4"/>
        <v>Аренда</v>
      </c>
      <c r="AW57" s="173" t="str">
        <f t="shared" si="4"/>
        <v>Аренда</v>
      </c>
      <c r="AX57" s="173" t="str">
        <f t="shared" si="4"/>
        <v>Аренда</v>
      </c>
      <c r="AY57" s="173" t="str">
        <f t="shared" si="4"/>
        <v>Аренда</v>
      </c>
      <c r="AZ57" s="173" t="str">
        <f t="shared" si="4"/>
        <v>Аренда</v>
      </c>
      <c r="BA57" s="174" t="str">
        <f t="shared" si="4"/>
        <v>Аренда</v>
      </c>
    </row>
    <row r="58" spans="2:53" ht="12.75" customHeight="1" x14ac:dyDescent="0.25">
      <c r="B58" s="15" t="s">
        <v>180</v>
      </c>
      <c r="C58" s="16" t="s">
        <v>19</v>
      </c>
      <c r="D58" s="27">
        <v>0.14499999999999999</v>
      </c>
      <c r="H58" s="8" t="s">
        <v>55</v>
      </c>
      <c r="J58" s="3" t="s">
        <v>12</v>
      </c>
      <c r="K58" s="40">
        <f>IF(K25&gt;'Налоговые вычеты'!$E$3,'Налоговые вычеты'!$E$3*K57,K25*K57)</f>
        <v>260000</v>
      </c>
      <c r="L58" s="40">
        <f>IF(L25&gt;'Налоговые вычеты'!$E$3,'Налоговые вычеты'!$E$3*L57,L25*L57)</f>
        <v>260000</v>
      </c>
      <c r="M58" s="40">
        <f>IF(M25&gt;'Налоговые вычеты'!$E$3,'Налоговые вычеты'!$E$3*M57,M25*M57)</f>
        <v>260000</v>
      </c>
      <c r="N58" s="40">
        <f>IF(N25&gt;'Налоговые вычеты'!$E$3,'Налоговые вычеты'!$E$3*N57,N25*N57)</f>
        <v>260000</v>
      </c>
      <c r="P58" s="258"/>
      <c r="AG58" s="179">
        <v>0.1</v>
      </c>
      <c r="AH58" s="173">
        <v>6594686.7897351384</v>
      </c>
      <c r="AI58" s="173">
        <v>6594686.7897351384</v>
      </c>
      <c r="AJ58" s="173">
        <v>6594686.7897351384</v>
      </c>
      <c r="AK58" s="173">
        <v>6594686.7897351384</v>
      </c>
      <c r="AL58" s="173">
        <v>6594686.7897351384</v>
      </c>
      <c r="AM58" s="173">
        <v>6594686.7897351384</v>
      </c>
      <c r="AN58" s="173">
        <v>6594686.7897351384</v>
      </c>
      <c r="AO58" s="174">
        <v>6594686.7897351384</v>
      </c>
      <c r="AS58" s="286">
        <v>0.1</v>
      </c>
      <c r="AT58" s="173" t="str">
        <f t="shared" si="5"/>
        <v>Аренда</v>
      </c>
      <c r="AU58" s="173" t="str">
        <f t="shared" si="4"/>
        <v>Аренда</v>
      </c>
      <c r="AV58" s="173" t="str">
        <f t="shared" si="4"/>
        <v>Аренда</v>
      </c>
      <c r="AW58" s="173" t="str">
        <f t="shared" si="4"/>
        <v>Аренда</v>
      </c>
      <c r="AX58" s="173" t="str">
        <f t="shared" si="4"/>
        <v>Аренда</v>
      </c>
      <c r="AY58" s="173" t="str">
        <f t="shared" si="4"/>
        <v>Аренда</v>
      </c>
      <c r="AZ58" s="173" t="str">
        <f t="shared" si="4"/>
        <v>Аренда</v>
      </c>
      <c r="BA58" s="174" t="str">
        <f t="shared" si="4"/>
        <v>Аренда</v>
      </c>
    </row>
    <row r="59" spans="2:53" ht="12.75" customHeight="1" thickBot="1" x14ac:dyDescent="0.3">
      <c r="B59" s="25" t="s">
        <v>70</v>
      </c>
      <c r="C59" s="56" t="s">
        <v>19</v>
      </c>
      <c r="D59" s="57">
        <v>0.08</v>
      </c>
      <c r="H59" s="8" t="s">
        <v>56</v>
      </c>
      <c r="J59" s="3" t="s">
        <v>12</v>
      </c>
      <c r="K59" s="40">
        <f>IF((SUM(Ипотека!T31:T632)*-1)&gt;'Налоговые вычеты'!$E$4,'Налоговые вычеты'!$E$4*Вводные!$D$37,(SUM(Ипотека!T31:T632)*-1)*Вводные!$D$37)</f>
        <v>0</v>
      </c>
      <c r="L59" s="40">
        <f>IF((SUM(Ипотека!U31:U632)*-1)&gt;'Налоговые вычеты'!$E$4,'Налоговые вычеты'!$E$4*Вводные!$D$37,(SUM(Ипотека!U31:U632)*-1)*Вводные!$D$37)</f>
        <v>0</v>
      </c>
      <c r="M59" s="40">
        <f>IF((SUM(Ипотека!V31:V632)*-1)&gt;'Налоговые вычеты'!$E$4,'Налоговые вычеты'!$E$4*Вводные!$D$37,(SUM(Ипотека!V31:V632)*-1)*Вводные!$D$37)</f>
        <v>0</v>
      </c>
      <c r="N59" s="40">
        <f>IF((SUM(Ипотека!W31:W632)*-1)&gt;'Налоговые вычеты'!$E$4,'Налоговые вычеты'!$E$4*Вводные!$D$37,(SUM(Ипотека!W31:W632)*-1)*Вводные!$D$37)</f>
        <v>0</v>
      </c>
      <c r="P59" s="258"/>
      <c r="AG59" s="179">
        <v>0.12</v>
      </c>
      <c r="AH59" s="173">
        <v>11306779.30424165</v>
      </c>
      <c r="AI59" s="173">
        <v>11306779.30424165</v>
      </c>
      <c r="AJ59" s="173">
        <v>11306779.30424165</v>
      </c>
      <c r="AK59" s="173">
        <v>11306779.30424165</v>
      </c>
      <c r="AL59" s="173">
        <v>11306779.30424165</v>
      </c>
      <c r="AM59" s="173">
        <v>11306779.30424165</v>
      </c>
      <c r="AN59" s="173">
        <v>11306779.30424165</v>
      </c>
      <c r="AO59" s="174">
        <v>11306779.30424165</v>
      </c>
      <c r="AS59" s="286">
        <v>0.12</v>
      </c>
      <c r="AT59" s="173" t="str">
        <f t="shared" si="5"/>
        <v>Аренда</v>
      </c>
      <c r="AU59" s="173" t="str">
        <f t="shared" si="4"/>
        <v>Аренда</v>
      </c>
      <c r="AV59" s="173" t="str">
        <f t="shared" si="4"/>
        <v>Аренда</v>
      </c>
      <c r="AW59" s="173" t="str">
        <f t="shared" si="4"/>
        <v>Аренда</v>
      </c>
      <c r="AX59" s="173" t="str">
        <f t="shared" si="4"/>
        <v>Аренда</v>
      </c>
      <c r="AY59" s="173" t="str">
        <f t="shared" si="4"/>
        <v>Аренда</v>
      </c>
      <c r="AZ59" s="173" t="str">
        <f t="shared" si="4"/>
        <v>Аренда</v>
      </c>
      <c r="BA59" s="174" t="str">
        <f t="shared" si="4"/>
        <v>Аренда</v>
      </c>
    </row>
    <row r="60" spans="2:53" x14ac:dyDescent="0.25">
      <c r="H60" s="8"/>
      <c r="J60" s="3"/>
      <c r="K60" s="9"/>
      <c r="L60" s="9"/>
      <c r="M60" s="9"/>
      <c r="N60" s="9"/>
      <c r="P60" s="247"/>
      <c r="AG60" s="179">
        <v>0.14000000000000001</v>
      </c>
      <c r="AH60" s="173">
        <v>16276823.198521182</v>
      </c>
      <c r="AI60" s="173">
        <v>16276823.198521182</v>
      </c>
      <c r="AJ60" s="173">
        <v>16276823.198521182</v>
      </c>
      <c r="AK60" s="173">
        <v>16276823.198521182</v>
      </c>
      <c r="AL60" s="173">
        <v>16276823.198521182</v>
      </c>
      <c r="AM60" s="173">
        <v>16276823.198521182</v>
      </c>
      <c r="AN60" s="173">
        <v>16276823.198521182</v>
      </c>
      <c r="AO60" s="174">
        <v>16276823.198521182</v>
      </c>
      <c r="AS60" s="286">
        <v>0.14000000000000001</v>
      </c>
      <c r="AT60" s="173" t="str">
        <f t="shared" si="5"/>
        <v>Аренда</v>
      </c>
      <c r="AU60" s="173" t="str">
        <f t="shared" si="4"/>
        <v>Аренда</v>
      </c>
      <c r="AV60" s="173" t="str">
        <f t="shared" si="4"/>
        <v>Аренда</v>
      </c>
      <c r="AW60" s="173" t="str">
        <f t="shared" si="4"/>
        <v>Аренда</v>
      </c>
      <c r="AX60" s="173" t="str">
        <f t="shared" si="4"/>
        <v>Аренда</v>
      </c>
      <c r="AY60" s="173" t="str">
        <f t="shared" si="4"/>
        <v>Аренда</v>
      </c>
      <c r="AZ60" s="173" t="str">
        <f t="shared" si="4"/>
        <v>Аренда</v>
      </c>
      <c r="BA60" s="174" t="str">
        <f t="shared" si="4"/>
        <v>Аренда</v>
      </c>
    </row>
    <row r="61" spans="2:53" ht="15.75" thickBot="1" x14ac:dyDescent="0.3">
      <c r="G61" s="156"/>
      <c r="H61" s="10" t="s">
        <v>57</v>
      </c>
      <c r="I61" s="11"/>
      <c r="J61" s="11" t="s">
        <v>5</v>
      </c>
      <c r="K61" s="12" t="s">
        <v>6</v>
      </c>
      <c r="L61" s="12" t="s">
        <v>6</v>
      </c>
      <c r="M61" s="12" t="s">
        <v>6</v>
      </c>
      <c r="N61" s="12" t="s">
        <v>6</v>
      </c>
      <c r="P61" s="259"/>
      <c r="AG61" s="180">
        <v>0.16</v>
      </c>
      <c r="AH61" s="175">
        <v>21475484.069596067</v>
      </c>
      <c r="AI61" s="175">
        <v>21475484.069596067</v>
      </c>
      <c r="AJ61" s="175">
        <v>21475484.069596067</v>
      </c>
      <c r="AK61" s="175">
        <v>21475484.069596067</v>
      </c>
      <c r="AL61" s="175">
        <v>21475484.069596067</v>
      </c>
      <c r="AM61" s="175">
        <v>21475484.069596067</v>
      </c>
      <c r="AN61" s="175">
        <v>21475484.069596067</v>
      </c>
      <c r="AO61" s="176">
        <v>21475484.069596067</v>
      </c>
      <c r="AS61" s="287">
        <v>0.16</v>
      </c>
      <c r="AT61" s="175" t="str">
        <f t="shared" si="5"/>
        <v>Аренда</v>
      </c>
      <c r="AU61" s="175" t="str">
        <f t="shared" si="4"/>
        <v>Аренда</v>
      </c>
      <c r="AV61" s="175" t="str">
        <f t="shared" si="4"/>
        <v>Аренда</v>
      </c>
      <c r="AW61" s="175" t="str">
        <f t="shared" si="4"/>
        <v>Аренда</v>
      </c>
      <c r="AX61" s="175" t="str">
        <f t="shared" si="4"/>
        <v>Аренда</v>
      </c>
      <c r="AY61" s="175" t="str">
        <f t="shared" si="4"/>
        <v>Аренда</v>
      </c>
      <c r="AZ61" s="175" t="str">
        <f t="shared" si="4"/>
        <v>Аренда</v>
      </c>
      <c r="BA61" s="176" t="str">
        <f t="shared" si="4"/>
        <v>Аренда</v>
      </c>
    </row>
    <row r="62" spans="2:53" x14ac:dyDescent="0.25">
      <c r="H62" s="15" t="s">
        <v>58</v>
      </c>
      <c r="J62" s="16" t="s">
        <v>12</v>
      </c>
      <c r="K62" s="48">
        <f>IF(K31="Нет",K25+K53+Аренда!K29+K26+Аренда!K30,K33+K53+Аренда!K29+K26+Аренда!K30)</f>
        <v>4850000</v>
      </c>
      <c r="L62" s="48">
        <f>IF(L31="Нет",L25+L53+Аренда!L29+L26+Аренда!L30,L33+L53+Аренда!L29+L26+Аренда!L30)</f>
        <v>3400000</v>
      </c>
      <c r="M62" s="48">
        <f>IF(M31="Нет",M25+M53+Аренда!M29+M26+Аренда!M30,M33+M53+Аренда!M29+M26+Аренда!M30)</f>
        <v>3400000</v>
      </c>
      <c r="N62" s="48">
        <f>IF(N31="Нет",N25+N53+Аренда!N29+N26+Аренда!N30,N33+N53+Аренда!N29+N26+Аренда!N30)</f>
        <v>15000000</v>
      </c>
      <c r="P62" s="260"/>
    </row>
    <row r="63" spans="2:53" x14ac:dyDescent="0.25">
      <c r="B63" s="58" t="str">
        <f>"Покупка выгоднее на "&amp;TEXT(-C63,"# ##0 ₽")&amp;""</f>
        <v>Покупка выгоднее на -11 306 779 ₽</v>
      </c>
      <c r="C63" s="279">
        <f>K4-J4</f>
        <v>11306779.30424165</v>
      </c>
      <c r="D63" s="264"/>
      <c r="H63" s="15" t="s">
        <v>59</v>
      </c>
      <c r="J63" s="3" t="s">
        <v>23</v>
      </c>
      <c r="K63" s="49" t="s">
        <v>24</v>
      </c>
      <c r="L63" s="49" t="s">
        <v>24</v>
      </c>
      <c r="M63" s="49" t="s">
        <v>71</v>
      </c>
      <c r="N63" s="49" t="s">
        <v>71</v>
      </c>
      <c r="P63" s="260"/>
    </row>
    <row r="64" spans="2:53" x14ac:dyDescent="0.25">
      <c r="B64" s="59" t="str">
        <f>"Аренда выгоднее на "&amp;TEXT(C63,"# ##0 ₽")&amp;""</f>
        <v>Аренда выгоднее на 11 306 779 ₽</v>
      </c>
      <c r="C64" s="263">
        <f>K4-J4</f>
        <v>11306779.30424165</v>
      </c>
      <c r="D64" s="264"/>
      <c r="H64" s="15" t="str">
        <f>IF(K63="Да","Средняя арендная плата","Ежемесячные расходы")</f>
        <v>Средняя арендная плата</v>
      </c>
      <c r="J64" s="16" t="s">
        <v>37</v>
      </c>
      <c r="K64" s="50">
        <v>55000</v>
      </c>
      <c r="L64" s="50">
        <v>55000</v>
      </c>
      <c r="M64" s="50">
        <v>0</v>
      </c>
      <c r="N64" s="50">
        <v>0</v>
      </c>
      <c r="P64" s="251"/>
    </row>
    <row r="65" spans="2:51" ht="15.75" thickBot="1" x14ac:dyDescent="0.3">
      <c r="B65" s="59" t="str">
        <f>"Накопление выгоднее на "&amp;TEXT(C63,"# ##0 ₽")&amp;""</f>
        <v>Накопление выгоднее на 11 306 779 ₽</v>
      </c>
      <c r="C65" s="59"/>
      <c r="D65" s="264"/>
      <c r="H65" s="8" t="s">
        <v>60</v>
      </c>
      <c r="J65" s="16" t="s">
        <v>27</v>
      </c>
      <c r="K65" s="52">
        <f>K64*12/K25</f>
        <v>4.5517241379310347E-2</v>
      </c>
      <c r="L65" s="52">
        <f>L64*12/L25</f>
        <v>4.5517241379310347E-2</v>
      </c>
      <c r="M65" s="52">
        <f>M64*12/M25</f>
        <v>0</v>
      </c>
      <c r="N65" s="52">
        <f>N64*12/N25</f>
        <v>0</v>
      </c>
      <c r="P65" s="261"/>
      <c r="AF65" s="2" t="s">
        <v>182</v>
      </c>
      <c r="AG65" s="64"/>
      <c r="AH65" s="156"/>
      <c r="AI65" s="156"/>
      <c r="AJ65" s="156" t="s">
        <v>189</v>
      </c>
      <c r="AK65" s="156"/>
      <c r="AL65" s="156"/>
      <c r="AM65" s="156"/>
    </row>
    <row r="66" spans="2:51" ht="15.75" thickBot="1" x14ac:dyDescent="0.3">
      <c r="B66" s="59"/>
      <c r="C66" s="263"/>
      <c r="D66" s="264"/>
      <c r="H66" s="8" t="s">
        <v>47</v>
      </c>
      <c r="J66" s="3" t="s">
        <v>37</v>
      </c>
      <c r="K66" s="53">
        <v>7600</v>
      </c>
      <c r="L66" s="53">
        <v>7600</v>
      </c>
      <c r="M66" s="53">
        <v>7600</v>
      </c>
      <c r="N66" s="53">
        <v>7600</v>
      </c>
      <c r="P66" s="255"/>
      <c r="AG66" s="13">
        <f>C63</f>
        <v>11306779.30424165</v>
      </c>
      <c r="AH66" s="177">
        <v>0.04</v>
      </c>
      <c r="AI66" s="177">
        <v>7.0000000000000007E-2</v>
      </c>
      <c r="AJ66" s="177">
        <v>0.1</v>
      </c>
      <c r="AK66" s="177">
        <v>0.13</v>
      </c>
      <c r="AL66" s="177">
        <v>0.16</v>
      </c>
      <c r="AM66" s="178">
        <v>0.19</v>
      </c>
    </row>
    <row r="67" spans="2:51" x14ac:dyDescent="0.25">
      <c r="B67" s="59"/>
      <c r="C67" s="59"/>
      <c r="D67" s="264"/>
      <c r="H67" s="8" t="s">
        <v>61</v>
      </c>
      <c r="J67" s="3" t="s">
        <v>37</v>
      </c>
      <c r="K67" s="44">
        <f>SUM(K64:K66)</f>
        <v>62600.045517241379</v>
      </c>
      <c r="L67" s="44">
        <f>SUM(L64:L66)</f>
        <v>62600.045517241379</v>
      </c>
      <c r="M67" s="44">
        <f>SUM(M64:M66)</f>
        <v>7600</v>
      </c>
      <c r="N67" s="44">
        <f>SUM(N64:N66)</f>
        <v>7600</v>
      </c>
      <c r="P67" s="255"/>
      <c r="AG67" s="179">
        <v>0.04</v>
      </c>
      <c r="AH67" s="156">
        <f t="dataTable" ref="AH67:AM72" dt2D="1" dtr="1" r1="D9" r2="D58" ca="1"/>
        <v>-80814.038987591863</v>
      </c>
      <c r="AI67" s="156">
        <v>-11174354.214432897</v>
      </c>
      <c r="AJ67" s="156">
        <v>-27239387.818226352</v>
      </c>
      <c r="AK67" s="156">
        <v>-50349283.126441538</v>
      </c>
      <c r="AL67" s="156">
        <v>-83361859.904925406</v>
      </c>
      <c r="AM67" s="156">
        <v>-130185152.35683283</v>
      </c>
      <c r="AS67" s="155"/>
      <c r="AT67" s="177">
        <v>0.04</v>
      </c>
      <c r="AU67" s="177">
        <v>7.0000000000000007E-2</v>
      </c>
      <c r="AV67" s="177">
        <v>0.1</v>
      </c>
      <c r="AW67" s="177">
        <v>0.13</v>
      </c>
      <c r="AX67" s="177">
        <v>0.16</v>
      </c>
      <c r="AY67" s="178">
        <v>0.19</v>
      </c>
    </row>
    <row r="68" spans="2:51" x14ac:dyDescent="0.25">
      <c r="B68" s="59"/>
      <c r="C68" s="263">
        <f>J8-K8</f>
        <v>-10229798.555323698</v>
      </c>
      <c r="D68" s="264"/>
      <c r="H68" s="8"/>
      <c r="J68" s="3"/>
      <c r="K68" s="44"/>
      <c r="L68" s="44"/>
      <c r="M68" s="44"/>
      <c r="N68" s="44"/>
      <c r="P68" s="255"/>
      <c r="AG68" s="179">
        <v>7.0000000000000007E-2</v>
      </c>
      <c r="AH68" s="156">
        <v>6082446.0483515859</v>
      </c>
      <c r="AI68" s="156">
        <v>-5243748.2553548999</v>
      </c>
      <c r="AJ68" s="156">
        <v>-21584373.802363895</v>
      </c>
      <c r="AK68" s="156">
        <v>-45021492.901820645</v>
      </c>
      <c r="AL68" s="156">
        <v>-78423366.66373384</v>
      </c>
      <c r="AM68" s="156">
        <v>-125710548.00893988</v>
      </c>
      <c r="AS68" s="179">
        <v>0.04</v>
      </c>
      <c r="AT68" s="189" t="str">
        <f t="shared" ref="AT68:AY73" si="6">IF(AH67&gt;0,"Аренда","Покупка")</f>
        <v>Покупка</v>
      </c>
      <c r="AU68" s="190" t="str">
        <f t="shared" si="6"/>
        <v>Покупка</v>
      </c>
      <c r="AV68" s="191" t="str">
        <f t="shared" si="6"/>
        <v>Покупка</v>
      </c>
      <c r="AW68" s="181" t="str">
        <f t="shared" si="6"/>
        <v>Покупка</v>
      </c>
      <c r="AX68" s="192" t="str">
        <f t="shared" si="6"/>
        <v>Покупка</v>
      </c>
      <c r="AY68" s="184" t="str">
        <f t="shared" si="6"/>
        <v>Покупка</v>
      </c>
    </row>
    <row r="69" spans="2:51" x14ac:dyDescent="0.25">
      <c r="B69" s="59"/>
      <c r="C69" s="264"/>
      <c r="D69" s="264"/>
      <c r="H69" s="8" t="s">
        <v>62</v>
      </c>
      <c r="J69" s="3" t="s">
        <v>23</v>
      </c>
      <c r="K69" s="30" t="s">
        <v>24</v>
      </c>
      <c r="L69" s="30" t="s">
        <v>24</v>
      </c>
      <c r="M69" s="30" t="s">
        <v>24</v>
      </c>
      <c r="N69" s="30" t="s">
        <v>24</v>
      </c>
      <c r="P69" s="247"/>
      <c r="AG69" s="179">
        <v>0.1</v>
      </c>
      <c r="AH69" s="156">
        <v>14674189.208679955</v>
      </c>
      <c r="AI69" s="156">
        <v>3072402.9617579393</v>
      </c>
      <c r="AJ69" s="156">
        <v>-13592277.420214687</v>
      </c>
      <c r="AK69" s="156">
        <v>-37411421.115216985</v>
      </c>
      <c r="AL69" s="156">
        <v>-71264665.052747279</v>
      </c>
      <c r="AM69" s="156">
        <v>-119086154.29522733</v>
      </c>
      <c r="AS69" s="179">
        <v>7.0000000000000007E-2</v>
      </c>
      <c r="AT69" s="193" t="str">
        <f t="shared" si="6"/>
        <v>Аренда</v>
      </c>
      <c r="AU69" s="194" t="str">
        <f t="shared" si="6"/>
        <v>Покупка</v>
      </c>
      <c r="AV69" s="195" t="str">
        <f t="shared" si="6"/>
        <v>Покупка</v>
      </c>
      <c r="AW69" s="183" t="str">
        <f t="shared" si="6"/>
        <v>Покупка</v>
      </c>
      <c r="AX69" s="196" t="str">
        <f t="shared" si="6"/>
        <v>Покупка</v>
      </c>
      <c r="AY69" s="197" t="str">
        <f t="shared" si="6"/>
        <v>Покупка</v>
      </c>
    </row>
    <row r="70" spans="2:51" x14ac:dyDescent="0.25">
      <c r="B70" s="59"/>
      <c r="C70" s="264"/>
      <c r="D70" s="264"/>
      <c r="H70" s="8" t="s">
        <v>63</v>
      </c>
      <c r="J70" s="3" t="s">
        <v>27</v>
      </c>
      <c r="K70" s="42">
        <v>1</v>
      </c>
      <c r="L70" s="42">
        <v>1</v>
      </c>
      <c r="M70" s="42">
        <v>1</v>
      </c>
      <c r="N70" s="42">
        <v>1</v>
      </c>
      <c r="P70" s="254"/>
      <c r="AG70" s="179">
        <v>0.13</v>
      </c>
      <c r="AH70" s="156">
        <v>26626528.151604768</v>
      </c>
      <c r="AI70" s="156">
        <v>14697518.113441162</v>
      </c>
      <c r="AJ70" s="156">
        <v>-2349186.8640770242</v>
      </c>
      <c r="AK70" s="156">
        <v>-26615564.403150186</v>
      </c>
      <c r="AL70" s="156">
        <v>-60993660.427915335</v>
      </c>
      <c r="AM70" s="156">
        <v>-109432395.28932631</v>
      </c>
      <c r="AS70" s="179">
        <v>0.1</v>
      </c>
      <c r="AT70" s="198" t="str">
        <f t="shared" si="6"/>
        <v>Аренда</v>
      </c>
      <c r="AU70" s="199" t="str">
        <f t="shared" si="6"/>
        <v>Аренда</v>
      </c>
      <c r="AV70" s="200" t="str">
        <f t="shared" si="6"/>
        <v>Покупка</v>
      </c>
      <c r="AW70" s="187" t="str">
        <f t="shared" si="6"/>
        <v>Покупка</v>
      </c>
      <c r="AX70" s="201" t="str">
        <f t="shared" si="6"/>
        <v>Покупка</v>
      </c>
      <c r="AY70" s="202" t="str">
        <f t="shared" si="6"/>
        <v>Покупка</v>
      </c>
    </row>
    <row r="71" spans="2:51" x14ac:dyDescent="0.25">
      <c r="H71" s="8" t="s">
        <v>64</v>
      </c>
      <c r="J71" s="16" t="s">
        <v>12</v>
      </c>
      <c r="K71" s="53">
        <v>30000</v>
      </c>
      <c r="L71" s="53">
        <v>30000</v>
      </c>
      <c r="M71" s="53">
        <v>30000</v>
      </c>
      <c r="N71" s="53">
        <v>30000</v>
      </c>
      <c r="P71" s="255"/>
      <c r="AG71" s="179">
        <v>0.16</v>
      </c>
      <c r="AH71" s="156">
        <v>43204898.303032339</v>
      </c>
      <c r="AI71" s="156">
        <v>30886591.281439438</v>
      </c>
      <c r="AJ71" s="156">
        <v>13388516.128304154</v>
      </c>
      <c r="AK71" s="156">
        <v>-11402713.49800387</v>
      </c>
      <c r="AL71" s="156">
        <v>-46392695.188642316</v>
      </c>
      <c r="AM71" s="156">
        <v>-95546429.153737947</v>
      </c>
      <c r="AS71" s="179">
        <v>0.13</v>
      </c>
      <c r="AT71" s="203" t="str">
        <f t="shared" si="6"/>
        <v>Аренда</v>
      </c>
      <c r="AU71" s="204" t="str">
        <f t="shared" si="6"/>
        <v>Аренда</v>
      </c>
      <c r="AV71" s="205" t="str">
        <f t="shared" si="6"/>
        <v>Покупка</v>
      </c>
      <c r="AW71" s="186" t="str">
        <f t="shared" si="6"/>
        <v>Покупка</v>
      </c>
      <c r="AX71" s="182" t="str">
        <f t="shared" si="6"/>
        <v>Покупка</v>
      </c>
      <c r="AY71" s="206" t="str">
        <f t="shared" si="6"/>
        <v>Покупка</v>
      </c>
    </row>
    <row r="72" spans="2:51" ht="15.75" thickBot="1" x14ac:dyDescent="0.3">
      <c r="H72" s="8"/>
      <c r="J72" s="16"/>
      <c r="K72" s="54"/>
      <c r="L72" s="54"/>
      <c r="M72" s="54"/>
      <c r="N72" s="54"/>
      <c r="P72" s="255"/>
      <c r="AG72" s="180">
        <v>0.19</v>
      </c>
      <c r="AH72" s="156">
        <v>66116561.150708139</v>
      </c>
      <c r="AI72" s="156">
        <v>53334365.235816598</v>
      </c>
      <c r="AJ72" s="156">
        <v>35301982.185407288</v>
      </c>
      <c r="AK72" s="156">
        <v>9893506.940168336</v>
      </c>
      <c r="AL72" s="156">
        <v>-25811473.854154781</v>
      </c>
      <c r="AM72" s="156">
        <v>-75795479.160642236</v>
      </c>
      <c r="AS72" s="179">
        <v>0.16</v>
      </c>
      <c r="AT72" s="207" t="str">
        <f t="shared" si="6"/>
        <v>Аренда</v>
      </c>
      <c r="AU72" s="208" t="str">
        <f t="shared" si="6"/>
        <v>Аренда</v>
      </c>
      <c r="AV72" s="209" t="str">
        <f t="shared" si="6"/>
        <v>Аренда</v>
      </c>
      <c r="AW72" s="203" t="str">
        <f t="shared" si="6"/>
        <v>Покупка</v>
      </c>
      <c r="AX72" s="185" t="str">
        <f t="shared" si="6"/>
        <v>Покупка</v>
      </c>
      <c r="AY72" s="210" t="str">
        <f t="shared" si="6"/>
        <v>Покупка</v>
      </c>
    </row>
    <row r="73" spans="2:51" ht="15.75" thickBot="1" x14ac:dyDescent="0.3">
      <c r="H73" s="8" t="s">
        <v>65</v>
      </c>
      <c r="J73" s="3" t="s">
        <v>66</v>
      </c>
      <c r="K73" s="30" t="s">
        <v>27</v>
      </c>
      <c r="L73" s="30" t="s">
        <v>27</v>
      </c>
      <c r="M73" s="30" t="s">
        <v>27</v>
      </c>
      <c r="N73" s="30" t="s">
        <v>27</v>
      </c>
      <c r="P73" s="247"/>
      <c r="AS73" s="180">
        <v>0.19</v>
      </c>
      <c r="AT73" s="188" t="str">
        <f t="shared" si="6"/>
        <v>Аренда</v>
      </c>
      <c r="AU73" s="211" t="str">
        <f t="shared" si="6"/>
        <v>Аренда</v>
      </c>
      <c r="AV73" s="212" t="str">
        <f t="shared" si="6"/>
        <v>Аренда</v>
      </c>
      <c r="AW73" s="213" t="str">
        <f t="shared" si="6"/>
        <v>Аренда</v>
      </c>
      <c r="AX73" s="214" t="str">
        <f t="shared" si="6"/>
        <v>Покупка</v>
      </c>
      <c r="AY73" s="215" t="str">
        <f t="shared" si="6"/>
        <v>Покупка</v>
      </c>
    </row>
    <row r="74" spans="2:51" x14ac:dyDescent="0.25">
      <c r="H74" s="8" t="s">
        <v>67</v>
      </c>
      <c r="J74" s="3" t="s">
        <v>19</v>
      </c>
      <c r="K74" s="38">
        <v>0.06</v>
      </c>
      <c r="L74" s="38">
        <v>0.06</v>
      </c>
      <c r="M74" s="38">
        <v>0.06</v>
      </c>
      <c r="N74" s="38">
        <v>0.06</v>
      </c>
      <c r="P74" s="252"/>
      <c r="AG74" s="13"/>
      <c r="AH74" s="177"/>
      <c r="AI74" s="177"/>
      <c r="AJ74" s="177"/>
      <c r="AK74" s="177"/>
      <c r="AL74" s="177"/>
      <c r="AM74" s="178"/>
    </row>
    <row r="75" spans="2:51" x14ac:dyDescent="0.25">
      <c r="H75" s="8" t="s">
        <v>68</v>
      </c>
      <c r="J75" s="3" t="s">
        <v>42</v>
      </c>
      <c r="K75" s="53">
        <v>3000</v>
      </c>
      <c r="L75" s="53">
        <v>3000</v>
      </c>
      <c r="M75" s="53">
        <v>3000</v>
      </c>
      <c r="N75" s="53">
        <v>3000</v>
      </c>
      <c r="P75" s="255"/>
    </row>
    <row r="76" spans="2:51" x14ac:dyDescent="0.25">
      <c r="H76" s="8"/>
      <c r="J76" s="3"/>
      <c r="K76" s="9"/>
      <c r="L76" s="9"/>
      <c r="M76" s="9"/>
      <c r="N76" s="9"/>
      <c r="P76" s="247"/>
    </row>
    <row r="77" spans="2:51" x14ac:dyDescent="0.25">
      <c r="H77" s="55" t="s">
        <v>69</v>
      </c>
      <c r="I77" s="11"/>
      <c r="J77" s="11" t="s">
        <v>5</v>
      </c>
      <c r="K77" s="12" t="s">
        <v>6</v>
      </c>
      <c r="L77" s="12" t="s">
        <v>6</v>
      </c>
      <c r="M77" s="12" t="s">
        <v>6</v>
      </c>
      <c r="N77" s="12" t="s">
        <v>6</v>
      </c>
      <c r="P77" s="259"/>
    </row>
    <row r="78" spans="2:51" x14ac:dyDescent="0.25">
      <c r="H78" s="15" t="s">
        <v>180</v>
      </c>
      <c r="J78" s="16" t="s">
        <v>19</v>
      </c>
      <c r="K78" s="27">
        <v>0.14499999999999999</v>
      </c>
      <c r="L78" s="27">
        <v>0.14499999999999999</v>
      </c>
      <c r="M78" s="27">
        <v>0.14499999999999999</v>
      </c>
      <c r="N78" s="27">
        <v>0.14499999999999999</v>
      </c>
      <c r="P78" s="248"/>
    </row>
    <row r="79" spans="2:51" ht="15.75" thickBot="1" x14ac:dyDescent="0.3">
      <c r="H79" s="25" t="s">
        <v>70</v>
      </c>
      <c r="I79" s="314"/>
      <c r="J79" s="56" t="s">
        <v>19</v>
      </c>
      <c r="K79" s="57">
        <v>0.08</v>
      </c>
      <c r="L79" s="57">
        <v>0.08</v>
      </c>
      <c r="M79" s="57">
        <v>0.08</v>
      </c>
      <c r="N79" s="57">
        <v>0.08</v>
      </c>
      <c r="P79" s="252"/>
    </row>
    <row r="80" spans="2:51" x14ac:dyDescent="0.25">
      <c r="P80" s="47"/>
    </row>
    <row r="81" spans="3:89" x14ac:dyDescent="0.25">
      <c r="P81" s="47"/>
    </row>
    <row r="82" spans="3:89" x14ac:dyDescent="0.25">
      <c r="P82" s="47"/>
    </row>
    <row r="89" spans="3:89" hidden="1" x14ac:dyDescent="0.25"/>
    <row r="90" spans="3:89" ht="14.25" hidden="1" customHeight="1" x14ac:dyDescent="0.25">
      <c r="I90" s="2">
        <f>IF(Покупка!I30=0,"",Покупка!I4)</f>
        <v>5</v>
      </c>
      <c r="J90" s="2">
        <f>IF(Покупка!J30=0,"",Покупка!J4)</f>
        <v>6</v>
      </c>
      <c r="K90" s="2">
        <f>IF(Покупка!K30=0,"",Покупка!K4)</f>
        <v>7</v>
      </c>
    </row>
    <row r="91" spans="3:89" ht="43.5" hidden="1" customHeight="1" x14ac:dyDescent="0.25">
      <c r="C91" s="2"/>
      <c r="D91" s="2">
        <f>Покупка!D4</f>
        <v>0</v>
      </c>
      <c r="E91" s="2">
        <f>IF(Покупка!E30=0,"",Покупка!E4)</f>
        <v>1</v>
      </c>
      <c r="F91" s="2">
        <f>IF(Покупка!F30=0,"",Покупка!F4)</f>
        <v>2</v>
      </c>
      <c r="G91" s="2">
        <f>IF(Покупка!G30=0,"",Покупка!G4)</f>
        <v>3</v>
      </c>
      <c r="H91" s="2">
        <f>IF(Покупка!H30=0,"",Покупка!H4)</f>
        <v>4</v>
      </c>
      <c r="I91" s="13">
        <f>IF(Покупка!I30=0,"",-Покупка!I30)</f>
        <v>1069686.1303528717</v>
      </c>
      <c r="J91" s="13">
        <f>IF(Покупка!J30=0,"",-Покупка!J30)</f>
        <v>1075225.1765905118</v>
      </c>
      <c r="K91" s="13">
        <f>IF(Покупка!K30=0,"",-Покупка!K30)</f>
        <v>1081262.7369895391</v>
      </c>
      <c r="L91" s="2">
        <f>IF(Покупка!L30=0,"",Покупка!L4)</f>
        <v>8</v>
      </c>
      <c r="M91" s="2">
        <f>IF(Покупка!M30=0,"",Покупка!M4)</f>
        <v>9</v>
      </c>
      <c r="N91" s="2">
        <f>IF(Покупка!N30=0,"",Покупка!N4)</f>
        <v>10</v>
      </c>
      <c r="O91" s="2">
        <f>IF(Покупка!O30=0,"",Покупка!O4)</f>
        <v>11</v>
      </c>
      <c r="R91" s="2">
        <f>IF(Покупка!R30=0,"",Покупка!R4)</f>
        <v>14</v>
      </c>
      <c r="S91" s="2" t="str">
        <f>IF(Покупка!T30=0,"",Покупка!T4)</f>
        <v/>
      </c>
      <c r="T91" s="2" t="str">
        <f>IF(Покупка!U30=0,"",Покупка!U4)</f>
        <v/>
      </c>
      <c r="U91" s="2" t="str">
        <f>IF(Покупка!V30=0,"",Покупка!V4)</f>
        <v/>
      </c>
      <c r="V91" s="2" t="str">
        <f>IF(Покупка!W30=0,"",Покупка!W4)</f>
        <v/>
      </c>
      <c r="W91" s="2" t="str">
        <f>IF(Покупка!X30=0,"",Покупка!X4)</f>
        <v/>
      </c>
      <c r="X91" s="2" t="str">
        <f>IF(Покупка!Y30=0,"",Покупка!Y4)</f>
        <v/>
      </c>
      <c r="Y91" s="2" t="str">
        <f>IF(Покупка!Z30=0,"",Покупка!Z4)</f>
        <v/>
      </c>
      <c r="Z91" s="2" t="str">
        <f>IF(Покупка!AA30=0,"",Покупка!AA4)</f>
        <v/>
      </c>
      <c r="AA91" s="2" t="str">
        <f>IF(Покупка!AB30=0,"",Покупка!AB4)</f>
        <v/>
      </c>
      <c r="AB91" s="2" t="str">
        <f>IF(Покупка!AC30=0,"",Покупка!AC4)</f>
        <v/>
      </c>
      <c r="AC91" s="2" t="str">
        <f>IF(Покупка!AD30=0,"",Покупка!AD4)</f>
        <v/>
      </c>
      <c r="AD91" s="2" t="str">
        <f>IF(Покупка!AE30=0,"",Покупка!AE4)</f>
        <v/>
      </c>
      <c r="AE91" s="2" t="str">
        <f>IF(Покупка!AF30=0,"",Покупка!AF4)</f>
        <v/>
      </c>
      <c r="AF91" s="2" t="str">
        <f>IF(Покупка!AG30=0,"",Покупка!AG4)</f>
        <v/>
      </c>
      <c r="AG91" s="2" t="str">
        <f>IF(Покупка!AH30=0,"",Покупка!AH4)</f>
        <v/>
      </c>
      <c r="AH91" s="2" t="str">
        <f>IF(Покупка!AI30=0,"",Покупка!AI4)</f>
        <v/>
      </c>
      <c r="AI91" s="2" t="str">
        <f>IF(Покупка!AJ30=0,"",Покупка!AJ4)</f>
        <v/>
      </c>
      <c r="AJ91" s="2" t="str">
        <f>IF(Покупка!AK30=0,"",Покупка!AK4)</f>
        <v/>
      </c>
      <c r="AK91" s="2" t="str">
        <f>IF(Покупка!AL30=0,"",Покупка!AL4)</f>
        <v/>
      </c>
      <c r="AL91" s="2" t="str">
        <f>IF(Покупка!AM30=0,"",Покупка!AM4)</f>
        <v/>
      </c>
      <c r="AM91" s="2" t="str">
        <f>IF(Покупка!AN30=0,"",Покупка!AN4)</f>
        <v/>
      </c>
      <c r="AS91" s="2" t="str">
        <f>IF(Покупка!AO30=0,"",Покупка!AO4)</f>
        <v/>
      </c>
      <c r="AT91" s="2" t="str">
        <f>IF(Покупка!AP30=0,"",Покупка!AP4)</f>
        <v/>
      </c>
      <c r="AU91" s="2" t="str">
        <f>IF(Покупка!AQ30=0,"",Покупка!AQ4)</f>
        <v/>
      </c>
      <c r="AV91" s="2" t="str">
        <f>IF(Покупка!AR30=0,"",Покупка!AR4)</f>
        <v/>
      </c>
      <c r="AW91" s="2" t="str">
        <f>IF(Покупка!AS30=0,"",Покупка!AS4)</f>
        <v/>
      </c>
      <c r="AX91" s="2" t="str">
        <f>IF(Покупка!AT30=0,"",Покупка!AT4)</f>
        <v/>
      </c>
      <c r="AY91" s="2" t="str">
        <f>IF(Покупка!AU30=0,"",Покупка!AU4)</f>
        <v/>
      </c>
      <c r="AZ91" s="2" t="str">
        <f>IF(Покупка!BA30=0,"",Покупка!BA4)</f>
        <v/>
      </c>
      <c r="BA91" s="2" t="str">
        <f>IF(Покупка!BB30=0,"",Покупка!BB4)</f>
        <v/>
      </c>
      <c r="CH91" s="2" t="str">
        <f>IF(Покупка!CI30=0,"",Покупка!CI4)</f>
        <v/>
      </c>
      <c r="CI91" s="2" t="str">
        <f>IF(Покупка!CJ30=0,"",Покупка!CJ4)</f>
        <v/>
      </c>
      <c r="CJ91" s="2" t="str">
        <f>IF(Покупка!CK30=0,"",Покупка!CK4)</f>
        <v/>
      </c>
      <c r="CK91" s="2" t="str">
        <f>IF(Покупка!CL30=0,"",Покупка!CL4)</f>
        <v/>
      </c>
    </row>
    <row r="92" spans="3:89" ht="43.5" hidden="1" customHeight="1" x14ac:dyDescent="0.25">
      <c r="C92" s="2" t="str">
        <f>Покупка!B30</f>
        <v>Общие расходы на жильё</v>
      </c>
      <c r="D92" s="13">
        <f>-Покупка!D30</f>
        <v>3500000</v>
      </c>
      <c r="E92" s="13">
        <f>IF(Покупка!E30=0,"",-Покупка!E30)</f>
        <v>683784.37143713341</v>
      </c>
      <c r="F92" s="13">
        <f>IF(Покупка!F30=0,"",-Покупка!F30)</f>
        <v>950638.22642259113</v>
      </c>
      <c r="G92" s="13">
        <f>IF(Покупка!G30=0,"",-Покупка!G30)</f>
        <v>958216.82035486191</v>
      </c>
      <c r="H92" s="13">
        <f>IF(Покупка!H30=0,"",-Покупка!H30)</f>
        <v>989313.6948129005</v>
      </c>
      <c r="I92" s="3" t="str">
        <f>IF(Аренда!I9=0,"",-Аренда!I9)</f>
        <v/>
      </c>
      <c r="J92" s="3" t="str">
        <f>IF(Аренда!J9=0,"",-Аренда!J9)</f>
        <v/>
      </c>
      <c r="K92" s="3" t="str">
        <f>IF(Аренда!K9=0,"",-Аренда!K9)</f>
        <v/>
      </c>
      <c r="L92" s="13">
        <f>IF(Покупка!L30=0,"",-Покупка!L30)</f>
        <v>1087843.6778244793</v>
      </c>
      <c r="M92" s="13">
        <f>IF(Покупка!M30=0,"",-Покупка!M30)</f>
        <v>1095016.9033345638</v>
      </c>
      <c r="N92" s="13">
        <f>IF(Покупка!N30=0,"",-Покупка!N30)</f>
        <v>1102835.7191405564</v>
      </c>
      <c r="O92" s="13">
        <f>IF(Покупка!O30=0,"",-Покупка!O30)</f>
        <v>1111358.2283690884</v>
      </c>
      <c r="P92" s="13"/>
      <c r="Q92" s="13"/>
      <c r="R92" s="13">
        <f>IF(Покупка!R30=0,"",-Покупка!R30)</f>
        <v>1141810.253246322</v>
      </c>
      <c r="S92" s="13" t="str">
        <f>IF(Покупка!T30=0,"",-Покупка!T30)</f>
        <v/>
      </c>
      <c r="T92" s="13" t="str">
        <f>IF(Покупка!U30=0,"",-Покупка!U30)</f>
        <v/>
      </c>
      <c r="U92" s="13" t="str">
        <f>IF(Покупка!V30=0,"",-Покупка!V30)</f>
        <v/>
      </c>
      <c r="V92" s="13" t="str">
        <f>IF(Покупка!W30=0,"",-Покупка!W30)</f>
        <v/>
      </c>
      <c r="W92" s="13" t="str">
        <f>IF(Покупка!X30=0,"",-Покупка!X30)</f>
        <v/>
      </c>
      <c r="X92" s="13" t="str">
        <f>IF(Покупка!Y30=0,"",-Покупка!Y30)</f>
        <v/>
      </c>
      <c r="Y92" s="13" t="str">
        <f>IF(Покупка!Z30=0,"",-Покупка!Z30)</f>
        <v/>
      </c>
      <c r="Z92" s="13" t="str">
        <f>IF(Покупка!AA30=0,"",-Покупка!AA30)</f>
        <v/>
      </c>
      <c r="AA92" s="13" t="str">
        <f>IF(Покупка!AB30=0,"",-Покупка!AB30)</f>
        <v/>
      </c>
      <c r="AB92" s="13" t="str">
        <f>IF(Покупка!AC30=0,"",-Покупка!AC30)</f>
        <v/>
      </c>
      <c r="AC92" s="13" t="str">
        <f>IF(Покупка!AD30=0,"",-Покупка!AD30)</f>
        <v/>
      </c>
      <c r="AD92" s="13" t="str">
        <f>IF(Покупка!AE30=0,"",-Покупка!AE30)</f>
        <v/>
      </c>
      <c r="AE92" s="13" t="str">
        <f>IF(Покупка!AF30=0,"",-Покупка!AF30)</f>
        <v/>
      </c>
      <c r="AF92" s="13" t="str">
        <f>IF(Покупка!AG30=0,"",-Покупка!AG30)</f>
        <v/>
      </c>
      <c r="AG92" s="13" t="str">
        <f>IF(Покупка!AH30=0,"",-Покупка!AH30)</f>
        <v/>
      </c>
      <c r="AH92" s="13" t="str">
        <f>IF(Покупка!AI30=0,"",-Покупка!AI30)</f>
        <v/>
      </c>
      <c r="AI92" s="13" t="str">
        <f>IF(Покупка!AJ30=0,"",-Покупка!AJ30)</f>
        <v/>
      </c>
      <c r="AJ92" s="13" t="str">
        <f>IF(Покупка!AK30=0,"",-Покупка!AK30)</f>
        <v/>
      </c>
      <c r="AK92" s="13" t="str">
        <f>IF(Покупка!AL30=0,"",-Покупка!AL30)</f>
        <v/>
      </c>
      <c r="AL92" s="13" t="str">
        <f>IF(Покупка!AM30=0,"",-Покупка!AM30)</f>
        <v/>
      </c>
      <c r="AM92" s="13" t="str">
        <f>IF(Покупка!AN30=0,"",-Покупка!AN30)</f>
        <v/>
      </c>
      <c r="AS92" s="13" t="str">
        <f>IF(Покупка!AO30=0,"",-Покупка!AO30)</f>
        <v/>
      </c>
      <c r="AT92" s="13" t="str">
        <f>IF(Покупка!AP30=0,"",-Покупка!AP30)</f>
        <v/>
      </c>
      <c r="AU92" s="13" t="str">
        <f>IF(Покупка!AQ30=0,"",-Покупка!AQ30)</f>
        <v/>
      </c>
      <c r="AV92" s="13" t="str">
        <f>IF(Покупка!AR30=0,"",-Покупка!AR30)</f>
        <v/>
      </c>
      <c r="AW92" s="13" t="str">
        <f>IF(Покупка!AS30=0,"",-Покупка!AS30)</f>
        <v/>
      </c>
      <c r="AX92" s="13" t="str">
        <f>IF(Покупка!AT30=0,"",-Покупка!AT30)</f>
        <v/>
      </c>
      <c r="AY92" s="13" t="str">
        <f>IF(Покупка!AU30=0,"",-Покупка!AU30)</f>
        <v/>
      </c>
      <c r="AZ92" s="13" t="str">
        <f>IF(Покупка!BA30=0,"",-Покупка!BA30)</f>
        <v/>
      </c>
      <c r="BA92" s="13" t="str">
        <f>IF(Покупка!BB30=0,"",-Покупка!BB30)</f>
        <v/>
      </c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 t="str">
        <f>IF(Покупка!CI30=0,"",-Покупка!CI30)</f>
        <v/>
      </c>
      <c r="CI92" s="13" t="str">
        <f>IF(Покупка!CJ30=0,"",-Покупка!CJ30)</f>
        <v/>
      </c>
      <c r="CJ92" s="13" t="str">
        <f>IF(Покупка!CK30=0,"",-Покупка!CK30)</f>
        <v/>
      </c>
      <c r="CK92" s="13" t="str">
        <f>IF(Покупка!CL30=0,"",-Покупка!CL30)</f>
        <v/>
      </c>
    </row>
    <row r="93" spans="3:89" ht="43.5" hidden="1" customHeight="1" x14ac:dyDescent="0.25">
      <c r="C93" s="3" t="str">
        <f>Аренда!B9</f>
        <v>Итоговое уменьшение сбережений в год</v>
      </c>
      <c r="D93" s="3" t="str">
        <f>IF(Аренда!D9=0,"",-Аренда!D9)</f>
        <v/>
      </c>
      <c r="E93" s="3" t="str">
        <f>IF(Аренда!E9=0,"",-Аренда!E9)</f>
        <v/>
      </c>
      <c r="F93" s="3" t="str">
        <f>IF(Аренда!F9=0,"",-Аренда!F9)</f>
        <v/>
      </c>
      <c r="G93" s="3" t="str">
        <f>IF(Аренда!G9=0,"",-Аренда!G9)</f>
        <v/>
      </c>
      <c r="H93" s="3" t="str">
        <f>IF(Аренда!H9=0,"",-Аренда!H9)</f>
        <v/>
      </c>
      <c r="I93" s="60" t="str">
        <f>IF(I92="","",I91-I92)</f>
        <v/>
      </c>
      <c r="J93" s="60" t="str">
        <f>IF(J92="","",J91-J92)</f>
        <v/>
      </c>
      <c r="K93" s="60" t="str">
        <f>IF(K92="","",K91-K92)</f>
        <v/>
      </c>
      <c r="L93" s="3" t="str">
        <f>IF(Аренда!L9=0,"",-Аренда!L9)</f>
        <v/>
      </c>
      <c r="M93" s="3" t="str">
        <f>IF(Аренда!M9=0,"",-Аренда!M9)</f>
        <v/>
      </c>
      <c r="N93" s="3" t="str">
        <f>IF(Аренда!N9=0,"",-Аренда!N9)</f>
        <v/>
      </c>
      <c r="O93" s="3" t="str">
        <f>IF(Аренда!O9=0,"",-Аренда!O9)</f>
        <v/>
      </c>
      <c r="P93" s="3"/>
      <c r="Q93" s="3"/>
      <c r="R93" s="3" t="str">
        <f>IF(Аренда!R9=0,"",-Аренда!R9)</f>
        <v/>
      </c>
      <c r="S93" s="3" t="str">
        <f>IF(Аренда!T9=0,"",-Аренда!T9)</f>
        <v/>
      </c>
      <c r="T93" s="3" t="str">
        <f>IF(Аренда!U9=0,"",-Аренда!U9)</f>
        <v/>
      </c>
      <c r="U93" s="3" t="str">
        <f>IF(Аренда!V9=0,"",-Аренда!V9)</f>
        <v/>
      </c>
      <c r="V93" s="3" t="str">
        <f>IF(Аренда!W9=0,"",-Аренда!W9)</f>
        <v/>
      </c>
      <c r="W93" s="3" t="str">
        <f>IF(Аренда!X9=0,"",-Аренда!X9)</f>
        <v/>
      </c>
      <c r="X93" s="3" t="str">
        <f>IF(Аренда!Y9=0,"",-Аренда!Y9)</f>
        <v/>
      </c>
      <c r="Y93" s="3" t="str">
        <f>IF(Аренда!Z9=0,"",-Аренда!Z9)</f>
        <v/>
      </c>
      <c r="Z93" s="3" t="str">
        <f>IF(Аренда!AA9=0,"",-Аренда!AA9)</f>
        <v/>
      </c>
      <c r="AA93" s="3" t="str">
        <f>IF(Аренда!AB9=0,"",-Аренда!AB9)</f>
        <v/>
      </c>
      <c r="AB93" s="3" t="str">
        <f>IF(Аренда!AC9=0,"",-Аренда!AC9)</f>
        <v/>
      </c>
      <c r="AC93" s="3" t="str">
        <f>IF(Аренда!AD9=0,"",-Аренда!AD9)</f>
        <v/>
      </c>
      <c r="AD93" s="3" t="str">
        <f>IF(Аренда!AE9=0,"",-Аренда!AE9)</f>
        <v/>
      </c>
      <c r="AE93" s="3" t="str">
        <f>IF(Аренда!AF9=0,"",-Аренда!AF9)</f>
        <v/>
      </c>
      <c r="AF93" s="3" t="str">
        <f>IF(Аренда!AG9=0,"",-Аренда!AG9)</f>
        <v/>
      </c>
      <c r="AG93" s="3" t="str">
        <f>IF(Аренда!AH9=0,"",-Аренда!AH9)</f>
        <v/>
      </c>
      <c r="AH93" s="3" t="str">
        <f>IF(Аренда!AI9=0,"",-Аренда!AI9)</f>
        <v/>
      </c>
      <c r="AI93" s="3" t="str">
        <f>IF(Аренда!AJ9=0,"",-Аренда!AJ9)</f>
        <v/>
      </c>
      <c r="AJ93" s="3" t="str">
        <f>IF(Аренда!AK9=0,"",-Аренда!AK9)</f>
        <v/>
      </c>
      <c r="AK93" s="3" t="str">
        <f>IF(Аренда!AL9=0,"",-Аренда!AL9)</f>
        <v/>
      </c>
      <c r="AL93" s="3" t="str">
        <f>IF(Аренда!AM9=0,"",-Аренда!AM9)</f>
        <v/>
      </c>
      <c r="AM93" s="3" t="str">
        <f>IF(Аренда!AN9=0,"",-Аренда!AN9)</f>
        <v/>
      </c>
      <c r="AS93" s="3" t="str">
        <f>IF(Аренда!AO9=0,"",-Аренда!AO9)</f>
        <v/>
      </c>
      <c r="AT93" s="3" t="str">
        <f>IF(Аренда!AP9=0,"",-Аренда!AP9)</f>
        <v/>
      </c>
      <c r="AU93" s="3" t="str">
        <f>IF(Аренда!AQ9=0,"",-Аренда!AQ9)</f>
        <v/>
      </c>
      <c r="AV93" s="3" t="str">
        <f>IF(Аренда!AR9=0,"",-Аренда!AR9)</f>
        <v/>
      </c>
      <c r="AW93" s="3" t="str">
        <f>IF(Аренда!AS9=0,"",-Аренда!AS9)</f>
        <v/>
      </c>
      <c r="AX93" s="3" t="str">
        <f>IF(Аренда!AT9=0,"",-Аренда!AT9)</f>
        <v/>
      </c>
      <c r="AY93" s="3" t="str">
        <f>IF(Аренда!AU9=0,"",-Аренда!AU9)</f>
        <v/>
      </c>
      <c r="AZ93" s="3" t="str">
        <f>IF(Аренда!BA9=0,"",-Аренда!BA9)</f>
        <v/>
      </c>
      <c r="BA93" s="3" t="str">
        <f>IF(Аренда!BB9=0,"",-Аренда!BB9)</f>
        <v/>
      </c>
    </row>
    <row r="94" spans="3:89" ht="43.5" hidden="1" customHeight="1" x14ac:dyDescent="0.25">
      <c r="D94" s="60" t="str">
        <f>IF(D93="","",D92-D93)</f>
        <v/>
      </c>
      <c r="E94" s="60" t="str">
        <f t="shared" ref="E94:BA94" si="7">IF(E93="","",E92-E93)</f>
        <v/>
      </c>
      <c r="F94" s="60" t="str">
        <f t="shared" si="7"/>
        <v/>
      </c>
      <c r="G94" s="60" t="str">
        <f t="shared" si="7"/>
        <v/>
      </c>
      <c r="H94" s="60" t="str">
        <f t="shared" si="7"/>
        <v/>
      </c>
      <c r="L94" s="60" t="str">
        <f t="shared" si="7"/>
        <v/>
      </c>
      <c r="M94" s="60" t="str">
        <f t="shared" si="7"/>
        <v/>
      </c>
      <c r="N94" s="60" t="str">
        <f t="shared" si="7"/>
        <v/>
      </c>
      <c r="O94" s="60" t="str">
        <f t="shared" si="7"/>
        <v/>
      </c>
      <c r="P94" s="60"/>
      <c r="Q94" s="60"/>
      <c r="R94" s="60" t="str">
        <f t="shared" si="7"/>
        <v/>
      </c>
      <c r="S94" s="60" t="str">
        <f t="shared" si="7"/>
        <v/>
      </c>
      <c r="T94" s="60" t="str">
        <f t="shared" si="7"/>
        <v/>
      </c>
      <c r="U94" s="60" t="str">
        <f t="shared" si="7"/>
        <v/>
      </c>
      <c r="V94" s="60" t="str">
        <f t="shared" si="7"/>
        <v/>
      </c>
      <c r="W94" s="60" t="str">
        <f t="shared" si="7"/>
        <v/>
      </c>
      <c r="X94" s="60" t="str">
        <f t="shared" si="7"/>
        <v/>
      </c>
      <c r="Y94" s="60" t="str">
        <f t="shared" si="7"/>
        <v/>
      </c>
      <c r="Z94" s="60" t="str">
        <f t="shared" si="7"/>
        <v/>
      </c>
      <c r="AA94" s="60" t="str">
        <f t="shared" si="7"/>
        <v/>
      </c>
      <c r="AB94" s="60" t="str">
        <f t="shared" si="7"/>
        <v/>
      </c>
      <c r="AC94" s="60" t="str">
        <f t="shared" si="7"/>
        <v/>
      </c>
      <c r="AD94" s="60" t="str">
        <f t="shared" si="7"/>
        <v/>
      </c>
      <c r="AE94" s="60" t="str">
        <f t="shared" si="7"/>
        <v/>
      </c>
      <c r="AF94" s="60" t="str">
        <f t="shared" si="7"/>
        <v/>
      </c>
      <c r="AG94" s="60" t="str">
        <f t="shared" si="7"/>
        <v/>
      </c>
      <c r="AH94" s="60" t="str">
        <f t="shared" si="7"/>
        <v/>
      </c>
      <c r="AI94" s="60" t="str">
        <f t="shared" si="7"/>
        <v/>
      </c>
      <c r="AJ94" s="60" t="str">
        <f t="shared" si="7"/>
        <v/>
      </c>
      <c r="AK94" s="60" t="str">
        <f t="shared" si="7"/>
        <v/>
      </c>
      <c r="AL94" s="60" t="str">
        <f t="shared" si="7"/>
        <v/>
      </c>
      <c r="AM94" s="60" t="str">
        <f t="shared" si="7"/>
        <v/>
      </c>
      <c r="AS94" s="60" t="str">
        <f t="shared" ref="AS94:AY94" si="8">IF(AS93="","",AS92-AS93)</f>
        <v/>
      </c>
      <c r="AT94" s="60" t="str">
        <f t="shared" si="8"/>
        <v/>
      </c>
      <c r="AU94" s="60" t="str">
        <f t="shared" si="8"/>
        <v/>
      </c>
      <c r="AV94" s="60" t="str">
        <f t="shared" si="8"/>
        <v/>
      </c>
      <c r="AW94" s="60" t="str">
        <f t="shared" si="8"/>
        <v/>
      </c>
      <c r="AX94" s="60" t="str">
        <f t="shared" si="8"/>
        <v/>
      </c>
      <c r="AY94" s="60" t="str">
        <f t="shared" si="8"/>
        <v/>
      </c>
      <c r="AZ94" s="60" t="str">
        <f t="shared" si="7"/>
        <v/>
      </c>
      <c r="BA94" s="60" t="str">
        <f t="shared" si="7"/>
        <v/>
      </c>
    </row>
    <row r="95" spans="3:89" ht="43.5" hidden="1" customHeight="1" x14ac:dyDescent="0.25"/>
    <row r="96" spans="3:89" ht="43.5" hidden="1" customHeight="1" x14ac:dyDescent="0.25">
      <c r="I96" s="2">
        <f>I90</f>
        <v>5</v>
      </c>
      <c r="J96" s="2">
        <f>J90</f>
        <v>6</v>
      </c>
      <c r="K96" s="2">
        <f>K90</f>
        <v>7</v>
      </c>
    </row>
    <row r="97" spans="2:89" ht="43.5" hidden="1" customHeight="1" x14ac:dyDescent="0.25">
      <c r="C97" s="2"/>
      <c r="D97" s="2">
        <f>Покупка!D4</f>
        <v>0</v>
      </c>
      <c r="E97" s="2">
        <f t="shared" ref="E97:BA97" si="9">E91</f>
        <v>1</v>
      </c>
      <c r="F97" s="2">
        <f t="shared" si="9"/>
        <v>2</v>
      </c>
      <c r="G97" s="2">
        <f t="shared" si="9"/>
        <v>3</v>
      </c>
      <c r="H97" s="2">
        <f t="shared" si="9"/>
        <v>4</v>
      </c>
      <c r="I97" s="61">
        <f>IF(Покупка!I49=0,"",Покупка!I49)</f>
        <v>9068988.5308067799</v>
      </c>
      <c r="J97" s="61">
        <f>IF(Покупка!J49=0,"",Покупка!J49)</f>
        <v>10735041.956000784</v>
      </c>
      <c r="K97" s="61">
        <f>IF(Покупка!K49=0,"",Покупка!K49)</f>
        <v>12562928.587480154</v>
      </c>
      <c r="L97" s="2">
        <f t="shared" si="9"/>
        <v>8</v>
      </c>
      <c r="M97" s="2">
        <f t="shared" si="9"/>
        <v>9</v>
      </c>
      <c r="N97" s="2">
        <f t="shared" si="9"/>
        <v>10</v>
      </c>
      <c r="O97" s="2">
        <f t="shared" si="9"/>
        <v>11</v>
      </c>
      <c r="R97" s="2">
        <f t="shared" si="9"/>
        <v>14</v>
      </c>
      <c r="S97" s="2" t="str">
        <f t="shared" si="9"/>
        <v/>
      </c>
      <c r="T97" s="2" t="str">
        <f t="shared" si="9"/>
        <v/>
      </c>
      <c r="U97" s="2" t="str">
        <f t="shared" si="9"/>
        <v/>
      </c>
      <c r="V97" s="2" t="str">
        <f t="shared" si="9"/>
        <v/>
      </c>
      <c r="W97" s="2" t="str">
        <f t="shared" si="9"/>
        <v/>
      </c>
      <c r="X97" s="2" t="str">
        <f t="shared" si="9"/>
        <v/>
      </c>
      <c r="Y97" s="2" t="str">
        <f t="shared" si="9"/>
        <v/>
      </c>
      <c r="Z97" s="2" t="str">
        <f t="shared" si="9"/>
        <v/>
      </c>
      <c r="AA97" s="2" t="str">
        <f t="shared" si="9"/>
        <v/>
      </c>
      <c r="AB97" s="2" t="str">
        <f t="shared" si="9"/>
        <v/>
      </c>
      <c r="AC97" s="2" t="str">
        <f t="shared" si="9"/>
        <v/>
      </c>
      <c r="AD97" s="2" t="str">
        <f t="shared" si="9"/>
        <v/>
      </c>
      <c r="AE97" s="2" t="str">
        <f t="shared" si="9"/>
        <v/>
      </c>
      <c r="AF97" s="2" t="str">
        <f t="shared" si="9"/>
        <v/>
      </c>
      <c r="AG97" s="2" t="str">
        <f t="shared" si="9"/>
        <v/>
      </c>
      <c r="AH97" s="2" t="str">
        <f t="shared" si="9"/>
        <v/>
      </c>
      <c r="AI97" s="2" t="str">
        <f t="shared" si="9"/>
        <v/>
      </c>
      <c r="AJ97" s="2" t="str">
        <f t="shared" si="9"/>
        <v/>
      </c>
      <c r="AK97" s="2" t="str">
        <f t="shared" si="9"/>
        <v/>
      </c>
      <c r="AL97" s="2" t="str">
        <f t="shared" si="9"/>
        <v/>
      </c>
      <c r="AM97" s="2" t="str">
        <f t="shared" si="9"/>
        <v/>
      </c>
      <c r="AS97" s="2" t="str">
        <f t="shared" ref="AS97:AY97" si="10">AS91</f>
        <v/>
      </c>
      <c r="AT97" s="2" t="str">
        <f t="shared" si="10"/>
        <v/>
      </c>
      <c r="AU97" s="2" t="str">
        <f t="shared" si="10"/>
        <v/>
      </c>
      <c r="AV97" s="2" t="str">
        <f t="shared" si="10"/>
        <v/>
      </c>
      <c r="AW97" s="2" t="str">
        <f t="shared" si="10"/>
        <v/>
      </c>
      <c r="AX97" s="2" t="str">
        <f t="shared" si="10"/>
        <v/>
      </c>
      <c r="AY97" s="2" t="str">
        <f t="shared" si="10"/>
        <v/>
      </c>
      <c r="AZ97" s="2" t="str">
        <f t="shared" si="9"/>
        <v/>
      </c>
      <c r="BA97" s="2" t="str">
        <f t="shared" si="9"/>
        <v/>
      </c>
      <c r="CH97" s="2" t="str">
        <f>CH91</f>
        <v/>
      </c>
      <c r="CI97" s="2" t="str">
        <f>CI91</f>
        <v/>
      </c>
      <c r="CJ97" s="2" t="str">
        <f>CJ91</f>
        <v/>
      </c>
      <c r="CK97" s="2" t="str">
        <f>CK91</f>
        <v/>
      </c>
    </row>
    <row r="98" spans="2:89" ht="43.5" hidden="1" customHeight="1" x14ac:dyDescent="0.25">
      <c r="B98" s="2" t="s">
        <v>8</v>
      </c>
      <c r="C98" s="2" t="str">
        <f>Покупка!B49</f>
        <v>Ликвидный чистый капитал</v>
      </c>
      <c r="D98" s="61">
        <f>Покупка!D49</f>
        <v>2700000</v>
      </c>
      <c r="E98" s="61">
        <f>IF(Покупка!E49=0,"",Покупка!E49)</f>
        <v>3750704.2435434991</v>
      </c>
      <c r="F98" s="61">
        <f>IF(Покупка!F49=0,"",Покупка!F49)</f>
        <v>4902515.8331289813</v>
      </c>
      <c r="G98" s="61">
        <f>IF(Покупка!G49=0,"",Покупка!G49)</f>
        <v>6165364.3683473179</v>
      </c>
      <c r="H98" s="61">
        <f>IF(Покупка!H49=0,"",Покупка!H49)</f>
        <v>7550178.3697211137</v>
      </c>
      <c r="I98" s="3">
        <f>IF(Аренда!I15=0,"",Аренда!I15)</f>
        <v>10216578.029332576</v>
      </c>
      <c r="J98" s="3">
        <f>IF(Аренда!J15=0,"",Аренда!J15)</f>
        <v>12234688.635961313</v>
      </c>
      <c r="K98" s="3">
        <f>IF(Аренда!K15=0,"",Аренда!K15)</f>
        <v>14502996.186370892</v>
      </c>
      <c r="L98" s="61">
        <f>IF(Покупка!L49=0,"",Покупка!L49)</f>
        <v>14568721.1602474</v>
      </c>
      <c r="M98" s="61">
        <f>IF(Покупка!M49=0,"",Покупка!M49)</f>
        <v>16770130.175442571</v>
      </c>
      <c r="N98" s="61">
        <f>IF(Покупка!N49=0,"",Покупка!N49)</f>
        <v>19186675.550776225</v>
      </c>
      <c r="O98" s="61">
        <f>IF(Покупка!O49=0,"",Покупка!O49)</f>
        <v>21839876.795196235</v>
      </c>
      <c r="P98" s="61"/>
      <c r="Q98" s="61"/>
      <c r="R98" s="61">
        <f>IF(Покупка!R49=0,"",Покупка!R49)</f>
        <v>31469193.247788765</v>
      </c>
      <c r="S98" s="61" t="str">
        <f>IF(Покупка!T49=0,"",Покупка!T49)</f>
        <v/>
      </c>
      <c r="T98" s="61" t="str">
        <f>IF(Покупка!U49=0,"",Покупка!U49)</f>
        <v/>
      </c>
      <c r="U98" s="61" t="str">
        <f>IF(Покупка!V49=0,"",Покупка!V49)</f>
        <v/>
      </c>
      <c r="V98" s="61" t="str">
        <f>IF(Покупка!W49=0,"",Покупка!W49)</f>
        <v/>
      </c>
      <c r="W98" s="61" t="str">
        <f>IF(Покупка!X49=0,"",Покупка!X49)</f>
        <v/>
      </c>
      <c r="X98" s="61" t="str">
        <f>IF(Покупка!Y49=0,"",Покупка!Y49)</f>
        <v/>
      </c>
      <c r="Y98" s="61" t="str">
        <f>IF(Покупка!Z49=0,"",Покупка!Z49)</f>
        <v/>
      </c>
      <c r="Z98" s="61" t="str">
        <f>IF(Покупка!AA49=0,"",Покупка!AA49)</f>
        <v/>
      </c>
      <c r="AA98" s="61" t="str">
        <f>IF(Покупка!AB49=0,"",Покупка!AB49)</f>
        <v/>
      </c>
      <c r="AB98" s="61" t="str">
        <f>IF(Покупка!AC49=0,"",Покупка!AC49)</f>
        <v/>
      </c>
      <c r="AC98" s="61" t="str">
        <f>IF(Покупка!AD49=0,"",Покупка!AD49)</f>
        <v/>
      </c>
      <c r="AD98" s="61" t="str">
        <f>IF(Покупка!AE49=0,"",Покупка!AE49)</f>
        <v/>
      </c>
      <c r="AE98" s="61" t="str">
        <f>IF(Покупка!AF49=0,"",Покупка!AF49)</f>
        <v/>
      </c>
      <c r="AF98" s="61" t="str">
        <f>IF(Покупка!AG49=0,"",Покупка!AG49)</f>
        <v/>
      </c>
      <c r="AG98" s="61" t="str">
        <f>IF(Покупка!AH49=0,"",Покупка!AH49)</f>
        <v/>
      </c>
      <c r="AH98" s="61" t="str">
        <f>IF(Покупка!AI49=0,"",Покупка!AI49)</f>
        <v/>
      </c>
      <c r="AI98" s="61" t="str">
        <f>IF(Покупка!AJ49=0,"",Покупка!AJ49)</f>
        <v/>
      </c>
      <c r="AJ98" s="61" t="str">
        <f>IF(Покупка!AK49=0,"",Покупка!AK49)</f>
        <v/>
      </c>
      <c r="AK98" s="61" t="str">
        <f>IF(Покупка!AL49=0,"",Покупка!AL49)</f>
        <v/>
      </c>
      <c r="AL98" s="61" t="str">
        <f>IF(Покупка!AM49=0,"",Покупка!AM49)</f>
        <v/>
      </c>
      <c r="AM98" s="61" t="str">
        <f>IF(Покупка!AN49=0,"",Покупка!AN49)</f>
        <v/>
      </c>
      <c r="AS98" s="61" t="str">
        <f>IF(Покупка!AO49=0,"",Покупка!AO49)</f>
        <v/>
      </c>
      <c r="AT98" s="61" t="str">
        <f>IF(Покупка!AP49=0,"",Покупка!AP49)</f>
        <v/>
      </c>
      <c r="AU98" s="61" t="str">
        <f>IF(Покупка!AQ49=0,"",Покупка!AQ49)</f>
        <v/>
      </c>
      <c r="AV98" s="61" t="str">
        <f>IF(Покупка!AR49=0,"",Покупка!AR49)</f>
        <v/>
      </c>
      <c r="AW98" s="61" t="str">
        <f>IF(Покупка!AS49=0,"",Покупка!AS49)</f>
        <v/>
      </c>
      <c r="AX98" s="61" t="str">
        <f>IF(Покупка!AT49=0,"",Покупка!AT49)</f>
        <v/>
      </c>
      <c r="AY98" s="61" t="str">
        <f>IF(Покупка!AU49=0,"",Покупка!AU49)</f>
        <v/>
      </c>
      <c r="AZ98" s="61" t="str">
        <f>IF(Покупка!BA49=0,"",Покупка!BA49)</f>
        <v/>
      </c>
      <c r="BA98" s="61" t="str">
        <f>IF(Покупка!BB49=0,"",Покупка!BB49)</f>
        <v/>
      </c>
    </row>
    <row r="99" spans="2:89" ht="43.5" hidden="1" customHeight="1" x14ac:dyDescent="0.25">
      <c r="B99" s="2" t="str">
        <f>IF(D43="Да","Аренда","Накопление")</f>
        <v>Накопление</v>
      </c>
      <c r="C99" s="62" t="str">
        <f>Аренда!B15</f>
        <v>Ликвидный чистый капитал</v>
      </c>
      <c r="D99" s="3">
        <f>IF(Аренда!D15=0,"",Аренда!D15)</f>
        <v>3500000</v>
      </c>
      <c r="E99" s="3">
        <f>IF(Аренда!E15=0,"",Аренда!E15)</f>
        <v>4341284.3714371333</v>
      </c>
      <c r="F99" s="3">
        <f>IF(Аренда!F15=0,"",Аренда!F15)</f>
        <v>5539908.8317181086</v>
      </c>
      <c r="G99" s="3">
        <f>IF(Аренда!G15=0,"",Аренда!G15)</f>
        <v>6885577.4326720964</v>
      </c>
      <c r="H99" s="3">
        <f>IF(Аренда!H15=0,"",Аренда!H15)</f>
        <v>8420039.7052224502</v>
      </c>
      <c r="I99" s="63">
        <f t="shared" ref="E99:BA100" si="11">I97-I98</f>
        <v>-1147589.4985257965</v>
      </c>
      <c r="J99" s="63">
        <f t="shared" si="11"/>
        <v>-1499646.6799605284</v>
      </c>
      <c r="K99" s="63">
        <f t="shared" si="11"/>
        <v>-1940067.5988907386</v>
      </c>
      <c r="L99" s="3">
        <f>IF(Аренда!L15=0,"",Аренда!L15)</f>
        <v>17053960.618933309</v>
      </c>
      <c r="M99" s="3">
        <f>IF(Аренда!M15=0,"",Аренда!M15)</f>
        <v>19924404.887421638</v>
      </c>
      <c r="N99" s="3">
        <f>IF(Аренда!N15=0,"",Аренда!N15)</f>
        <v>23156116.667433523</v>
      </c>
      <c r="O99" s="3">
        <f>IF(Аренда!O15=0,"",Аренда!O15)</f>
        <v>26796534.526473232</v>
      </c>
      <c r="P99" s="3"/>
      <c r="Q99" s="3"/>
      <c r="R99" s="3">
        <f>IF(Аренда!R15=0,"",Аренда!R15)</f>
        <v>40746395.766112596</v>
      </c>
      <c r="S99" s="3" t="str">
        <f>IF(Аренда!T15=0,"",Аренда!T15)</f>
        <v/>
      </c>
      <c r="T99" s="3" t="str">
        <f>IF(Аренда!U15=0,"",Аренда!U15)</f>
        <v/>
      </c>
      <c r="U99" s="3" t="str">
        <f>IF(Аренда!V15=0,"",Аренда!V15)</f>
        <v/>
      </c>
      <c r="V99" s="3" t="str">
        <f>IF(Аренда!W15=0,"",Аренда!W15)</f>
        <v/>
      </c>
      <c r="W99" s="3" t="str">
        <f>IF(Аренда!X15=0,"",Аренда!X15)</f>
        <v/>
      </c>
      <c r="X99" s="3" t="str">
        <f>IF(Аренда!Y15=0,"",Аренда!Y15)</f>
        <v/>
      </c>
      <c r="Y99" s="3" t="str">
        <f>IF(Аренда!Z15=0,"",Аренда!Z15)</f>
        <v/>
      </c>
      <c r="Z99" s="3" t="str">
        <f>IF(Аренда!AA15=0,"",Аренда!AA15)</f>
        <v/>
      </c>
      <c r="AA99" s="3" t="str">
        <f>IF(Аренда!AB15=0,"",Аренда!AB15)</f>
        <v/>
      </c>
      <c r="AB99" s="3" t="str">
        <f>IF(Аренда!AC15=0,"",Аренда!AC15)</f>
        <v/>
      </c>
      <c r="AC99" s="3" t="str">
        <f>IF(Аренда!AD15=0,"",Аренда!AD15)</f>
        <v/>
      </c>
      <c r="AD99" s="3" t="str">
        <f>IF(Аренда!AE15=0,"",Аренда!AE15)</f>
        <v/>
      </c>
      <c r="AE99" s="3" t="str">
        <f>IF(Аренда!AF15=0,"",Аренда!AF15)</f>
        <v/>
      </c>
      <c r="AF99" s="3" t="str">
        <f>IF(Аренда!AG15=0,"",Аренда!AG15)</f>
        <v/>
      </c>
      <c r="AG99" s="3" t="str">
        <f>IF(Аренда!AH15=0,"",Аренда!AH15)</f>
        <v/>
      </c>
      <c r="AH99" s="3" t="str">
        <f>IF(Аренда!AI15=0,"",Аренда!AI15)</f>
        <v/>
      </c>
      <c r="AI99" s="3" t="str">
        <f>IF(Аренда!AJ15=0,"",Аренда!AJ15)</f>
        <v/>
      </c>
      <c r="AJ99" s="3" t="str">
        <f>IF(Аренда!AK15=0,"",Аренда!AK15)</f>
        <v/>
      </c>
      <c r="AK99" s="3" t="str">
        <f>IF(Аренда!AL15=0,"",Аренда!AL15)</f>
        <v/>
      </c>
      <c r="AL99" s="3" t="str">
        <f>IF(Аренда!AM15=0,"",Аренда!AM15)</f>
        <v/>
      </c>
      <c r="AM99" s="3" t="str">
        <f>IF(Аренда!AN15=0,"",Аренда!AN15)</f>
        <v/>
      </c>
      <c r="AS99" s="3" t="str">
        <f>IF(Аренда!AO15=0,"",Аренда!AO15)</f>
        <v/>
      </c>
      <c r="AT99" s="3" t="str">
        <f>IF(Аренда!AP15=0,"",Аренда!AP15)</f>
        <v/>
      </c>
      <c r="AU99" s="3" t="str">
        <f>IF(Аренда!AQ15=0,"",Аренда!AQ15)</f>
        <v/>
      </c>
      <c r="AV99" s="3" t="str">
        <f>IF(Аренда!AR15=0,"",Аренда!AR15)</f>
        <v/>
      </c>
      <c r="AW99" s="3" t="str">
        <f>IF(Аренда!AS15=0,"",Аренда!AS15)</f>
        <v/>
      </c>
      <c r="AX99" s="3" t="str">
        <f>IF(Аренда!AT15=0,"",Аренда!AT15)</f>
        <v/>
      </c>
      <c r="AY99" s="3" t="str">
        <f>IF(Аренда!AU15=0,"",Аренда!AU15)</f>
        <v/>
      </c>
      <c r="AZ99" s="3" t="str">
        <f>IF(Аренда!BA15=0,"",Аренда!BA15)</f>
        <v/>
      </c>
      <c r="BA99" s="3" t="str">
        <f>IF(Аренда!BB15=0,"",Аренда!BB15)</f>
        <v/>
      </c>
    </row>
    <row r="100" spans="2:89" ht="43.5" hidden="1" customHeight="1" x14ac:dyDescent="0.25">
      <c r="D100" s="63">
        <f>D98-D99</f>
        <v>-800000</v>
      </c>
      <c r="E100" s="63">
        <f t="shared" si="11"/>
        <v>-590580.12789363414</v>
      </c>
      <c r="F100" s="63">
        <f t="shared" si="11"/>
        <v>-637392.99858912732</v>
      </c>
      <c r="G100" s="63">
        <f t="shared" si="11"/>
        <v>-720213.0643247785</v>
      </c>
      <c r="H100" s="63">
        <f t="shared" si="11"/>
        <v>-869861.33550133649</v>
      </c>
      <c r="I100" s="3">
        <f>I96</f>
        <v>5</v>
      </c>
      <c r="J100" s="3">
        <f>J96</f>
        <v>6</v>
      </c>
      <c r="K100" s="3">
        <f>K96</f>
        <v>7</v>
      </c>
      <c r="L100" s="63">
        <f t="shared" si="11"/>
        <v>-2485239.4586859085</v>
      </c>
      <c r="M100" s="63">
        <f t="shared" si="11"/>
        <v>-3154274.711979067</v>
      </c>
      <c r="N100" s="63">
        <f t="shared" si="11"/>
        <v>-3969441.1166572981</v>
      </c>
      <c r="O100" s="63">
        <f t="shared" si="11"/>
        <v>-4956657.7312769964</v>
      </c>
      <c r="P100" s="63"/>
      <c r="Q100" s="63"/>
      <c r="R100" s="63">
        <f t="shared" si="11"/>
        <v>-9277202.5183238313</v>
      </c>
      <c r="S100" s="63" t="e">
        <f t="shared" si="11"/>
        <v>#VALUE!</v>
      </c>
      <c r="T100" s="63" t="e">
        <f t="shared" si="11"/>
        <v>#VALUE!</v>
      </c>
      <c r="U100" s="63" t="e">
        <f t="shared" si="11"/>
        <v>#VALUE!</v>
      </c>
      <c r="V100" s="63" t="e">
        <f t="shared" si="11"/>
        <v>#VALUE!</v>
      </c>
      <c r="W100" s="63" t="e">
        <f t="shared" si="11"/>
        <v>#VALUE!</v>
      </c>
      <c r="X100" s="63" t="e">
        <f t="shared" si="11"/>
        <v>#VALUE!</v>
      </c>
      <c r="Y100" s="63" t="e">
        <f t="shared" si="11"/>
        <v>#VALUE!</v>
      </c>
      <c r="Z100" s="63" t="e">
        <f t="shared" si="11"/>
        <v>#VALUE!</v>
      </c>
      <c r="AA100" s="63" t="e">
        <f t="shared" si="11"/>
        <v>#VALUE!</v>
      </c>
      <c r="AB100" s="63" t="e">
        <f t="shared" si="11"/>
        <v>#VALUE!</v>
      </c>
      <c r="AC100" s="63" t="e">
        <f t="shared" si="11"/>
        <v>#VALUE!</v>
      </c>
      <c r="AD100" s="63" t="e">
        <f t="shared" si="11"/>
        <v>#VALUE!</v>
      </c>
      <c r="AE100" s="63" t="e">
        <f t="shared" si="11"/>
        <v>#VALUE!</v>
      </c>
      <c r="AF100" s="63" t="e">
        <f t="shared" si="11"/>
        <v>#VALUE!</v>
      </c>
      <c r="AG100" s="63" t="e">
        <f t="shared" si="11"/>
        <v>#VALUE!</v>
      </c>
      <c r="AH100" s="63" t="e">
        <f t="shared" si="11"/>
        <v>#VALUE!</v>
      </c>
      <c r="AI100" s="63" t="e">
        <f t="shared" si="11"/>
        <v>#VALUE!</v>
      </c>
      <c r="AJ100" s="63" t="e">
        <f t="shared" si="11"/>
        <v>#VALUE!</v>
      </c>
      <c r="AK100" s="63" t="e">
        <f t="shared" si="11"/>
        <v>#VALUE!</v>
      </c>
      <c r="AL100" s="63" t="e">
        <f t="shared" si="11"/>
        <v>#VALUE!</v>
      </c>
      <c r="AM100" s="63" t="e">
        <f t="shared" si="11"/>
        <v>#VALUE!</v>
      </c>
      <c r="AS100" s="63" t="e">
        <f t="shared" ref="AS100:AY100" si="12">AS98-AS99</f>
        <v>#VALUE!</v>
      </c>
      <c r="AT100" s="63" t="e">
        <f t="shared" si="12"/>
        <v>#VALUE!</v>
      </c>
      <c r="AU100" s="63" t="e">
        <f t="shared" si="12"/>
        <v>#VALUE!</v>
      </c>
      <c r="AV100" s="63" t="e">
        <f t="shared" si="12"/>
        <v>#VALUE!</v>
      </c>
      <c r="AW100" s="63" t="e">
        <f t="shared" si="12"/>
        <v>#VALUE!</v>
      </c>
      <c r="AX100" s="63" t="e">
        <f t="shared" si="12"/>
        <v>#VALUE!</v>
      </c>
      <c r="AY100" s="63" t="e">
        <f t="shared" si="12"/>
        <v>#VALUE!</v>
      </c>
      <c r="AZ100" s="63" t="e">
        <f t="shared" si="11"/>
        <v>#VALUE!</v>
      </c>
      <c r="BA100" s="63" t="e">
        <f t="shared" si="11"/>
        <v>#VALUE!</v>
      </c>
    </row>
    <row r="101" spans="2:89" ht="43.5" hidden="1" customHeight="1" x14ac:dyDescent="0.25">
      <c r="D101" s="3">
        <f>D97</f>
        <v>0</v>
      </c>
      <c r="E101" s="3">
        <f t="shared" ref="E101:BA101" si="13">E97</f>
        <v>1</v>
      </c>
      <c r="F101" s="3">
        <f t="shared" si="13"/>
        <v>2</v>
      </c>
      <c r="G101" s="3">
        <f t="shared" si="13"/>
        <v>3</v>
      </c>
      <c r="H101" s="3">
        <f t="shared" si="13"/>
        <v>4</v>
      </c>
      <c r="I101" s="3">
        <f>-Аренда!I5</f>
        <v>0</v>
      </c>
      <c r="J101" s="3">
        <f>-Аренда!J5</f>
        <v>0</v>
      </c>
      <c r="K101" s="3">
        <f>-Аренда!K5</f>
        <v>0</v>
      </c>
      <c r="L101" s="3">
        <f t="shared" si="13"/>
        <v>8</v>
      </c>
      <c r="M101" s="3">
        <f t="shared" si="13"/>
        <v>9</v>
      </c>
      <c r="N101" s="3">
        <f t="shared" si="13"/>
        <v>10</v>
      </c>
      <c r="O101" s="3">
        <f t="shared" si="13"/>
        <v>11</v>
      </c>
      <c r="P101" s="3"/>
      <c r="Q101" s="3"/>
      <c r="R101" s="3">
        <f t="shared" si="13"/>
        <v>14</v>
      </c>
      <c r="S101" s="3" t="str">
        <f t="shared" si="13"/>
        <v/>
      </c>
      <c r="T101" s="3" t="str">
        <f t="shared" si="13"/>
        <v/>
      </c>
      <c r="U101" s="3" t="str">
        <f t="shared" si="13"/>
        <v/>
      </c>
      <c r="V101" s="3" t="str">
        <f t="shared" si="13"/>
        <v/>
      </c>
      <c r="W101" s="3" t="str">
        <f t="shared" si="13"/>
        <v/>
      </c>
      <c r="X101" s="3" t="str">
        <f t="shared" si="13"/>
        <v/>
      </c>
      <c r="Y101" s="3" t="str">
        <f t="shared" si="13"/>
        <v/>
      </c>
      <c r="Z101" s="3" t="str">
        <f t="shared" si="13"/>
        <v/>
      </c>
      <c r="AA101" s="3" t="str">
        <f t="shared" si="13"/>
        <v/>
      </c>
      <c r="AB101" s="3" t="str">
        <f t="shared" si="13"/>
        <v/>
      </c>
      <c r="AC101" s="3" t="str">
        <f t="shared" si="13"/>
        <v/>
      </c>
      <c r="AD101" s="3" t="str">
        <f t="shared" si="13"/>
        <v/>
      </c>
      <c r="AE101" s="3" t="str">
        <f t="shared" si="13"/>
        <v/>
      </c>
      <c r="AF101" s="3" t="str">
        <f t="shared" si="13"/>
        <v/>
      </c>
      <c r="AG101" s="3" t="str">
        <f t="shared" si="13"/>
        <v/>
      </c>
      <c r="AH101" s="3" t="str">
        <f t="shared" si="13"/>
        <v/>
      </c>
      <c r="AI101" s="3" t="str">
        <f t="shared" si="13"/>
        <v/>
      </c>
      <c r="AJ101" s="3" t="str">
        <f t="shared" si="13"/>
        <v/>
      </c>
      <c r="AK101" s="3" t="str">
        <f t="shared" si="13"/>
        <v/>
      </c>
      <c r="AL101" s="3" t="str">
        <f t="shared" si="13"/>
        <v/>
      </c>
      <c r="AM101" s="3" t="str">
        <f t="shared" si="13"/>
        <v/>
      </c>
      <c r="AS101" s="3" t="str">
        <f t="shared" ref="AS101:AY101" si="14">AS97</f>
        <v/>
      </c>
      <c r="AT101" s="3" t="str">
        <f t="shared" si="14"/>
        <v/>
      </c>
      <c r="AU101" s="3" t="str">
        <f t="shared" si="14"/>
        <v/>
      </c>
      <c r="AV101" s="3" t="str">
        <f t="shared" si="14"/>
        <v/>
      </c>
      <c r="AW101" s="3" t="str">
        <f t="shared" si="14"/>
        <v/>
      </c>
      <c r="AX101" s="3" t="str">
        <f t="shared" si="14"/>
        <v/>
      </c>
      <c r="AY101" s="3" t="str">
        <f t="shared" si="14"/>
        <v/>
      </c>
      <c r="AZ101" s="3" t="str">
        <f t="shared" si="13"/>
        <v/>
      </c>
      <c r="BA101" s="3" t="str">
        <f t="shared" si="13"/>
        <v/>
      </c>
    </row>
    <row r="102" spans="2:89" ht="43.5" hidden="1" customHeight="1" x14ac:dyDescent="0.25">
      <c r="C102" s="3" t="str">
        <f>Аренда!B5</f>
        <v>Уменьшение сбережений</v>
      </c>
      <c r="D102" s="3">
        <f>-Аренда!D5</f>
        <v>0</v>
      </c>
      <c r="E102" s="3">
        <f>-Аренда!E5</f>
        <v>0</v>
      </c>
      <c r="F102" s="3">
        <f>-Аренда!F5</f>
        <v>0</v>
      </c>
      <c r="G102" s="3">
        <f>-Аренда!G5</f>
        <v>0</v>
      </c>
      <c r="H102" s="3">
        <f>-Аренда!H5</f>
        <v>0</v>
      </c>
      <c r="I102" s="3">
        <f>-Аренда!I6</f>
        <v>124076.59315200003</v>
      </c>
      <c r="J102" s="3">
        <f>-Аренда!J6</f>
        <v>134002.72060416004</v>
      </c>
      <c r="K102" s="3">
        <f>-Аренда!K6</f>
        <v>144722.93825249287</v>
      </c>
      <c r="L102" s="3">
        <f>-Аренда!L5</f>
        <v>0</v>
      </c>
      <c r="M102" s="3">
        <f>-Аренда!M5</f>
        <v>0</v>
      </c>
      <c r="N102" s="3">
        <f>-Аренда!N5</f>
        <v>0</v>
      </c>
      <c r="O102" s="3">
        <f>-Аренда!O5</f>
        <v>0</v>
      </c>
      <c r="P102" s="3"/>
      <c r="Q102" s="3"/>
      <c r="R102" s="3">
        <f>-Аренда!R5</f>
        <v>0</v>
      </c>
      <c r="S102" s="3">
        <f>-Аренда!T5</f>
        <v>0</v>
      </c>
      <c r="T102" s="3">
        <f>-Аренда!U5</f>
        <v>0</v>
      </c>
      <c r="U102" s="3">
        <f>-Аренда!V5</f>
        <v>0</v>
      </c>
      <c r="V102" s="3">
        <f>-Аренда!W5</f>
        <v>0</v>
      </c>
      <c r="W102" s="3">
        <f>-Аренда!X5</f>
        <v>0</v>
      </c>
      <c r="X102" s="3">
        <f>-Аренда!Y5</f>
        <v>0</v>
      </c>
      <c r="Y102" s="3">
        <f>-Аренда!Z5</f>
        <v>0</v>
      </c>
      <c r="Z102" s="3">
        <f>-Аренда!AA5</f>
        <v>0</v>
      </c>
      <c r="AA102" s="3">
        <f>-Аренда!AB5</f>
        <v>0</v>
      </c>
      <c r="AB102" s="3">
        <f>-Аренда!AC5</f>
        <v>0</v>
      </c>
      <c r="AC102" s="3">
        <f>-Аренда!AD5</f>
        <v>0</v>
      </c>
      <c r="AD102" s="3">
        <f>-Аренда!AE5</f>
        <v>0</v>
      </c>
      <c r="AE102" s="3">
        <f>-Аренда!AF5</f>
        <v>0</v>
      </c>
      <c r="AF102" s="3">
        <f>-Аренда!AG5</f>
        <v>0</v>
      </c>
      <c r="AG102" s="3">
        <f>-Аренда!AH5</f>
        <v>0</v>
      </c>
      <c r="AH102" s="3">
        <f>-Аренда!AI5</f>
        <v>0</v>
      </c>
      <c r="AI102" s="3">
        <f>-Аренда!AJ5</f>
        <v>0</v>
      </c>
      <c r="AJ102" s="3">
        <f>-Аренда!AK5</f>
        <v>0</v>
      </c>
      <c r="AK102" s="3">
        <f>-Аренда!AL5</f>
        <v>0</v>
      </c>
      <c r="AL102" s="3">
        <f>-Аренда!AM5</f>
        <v>0</v>
      </c>
      <c r="AM102" s="3">
        <f>-Аренда!AN5</f>
        <v>0</v>
      </c>
      <c r="AS102" s="3">
        <f>-Аренда!AO5</f>
        <v>0</v>
      </c>
      <c r="AT102" s="3">
        <f>-Аренда!AP5</f>
        <v>0</v>
      </c>
      <c r="AU102" s="3">
        <f>-Аренда!AQ5</f>
        <v>0</v>
      </c>
      <c r="AV102" s="3">
        <f>-Аренда!AR5</f>
        <v>0</v>
      </c>
      <c r="AW102" s="3">
        <f>-Аренда!AS5</f>
        <v>0</v>
      </c>
      <c r="AX102" s="3">
        <f>-Аренда!AT5</f>
        <v>0</v>
      </c>
      <c r="AY102" s="3">
        <f>-Аренда!AU5</f>
        <v>0</v>
      </c>
      <c r="AZ102" s="3">
        <f>-Аренда!BA5</f>
        <v>0</v>
      </c>
      <c r="BA102" s="3">
        <f>-Аренда!BB5</f>
        <v>0</v>
      </c>
    </row>
    <row r="103" spans="2:89" ht="43.5" hidden="1" customHeight="1" x14ac:dyDescent="0.25">
      <c r="C103" s="3" t="str">
        <f>Аренда!B6</f>
        <v>Средние расходы по ЖКУ в год</v>
      </c>
      <c r="D103" s="3">
        <f>-Аренда!D6</f>
        <v>0</v>
      </c>
      <c r="E103" s="3">
        <f>-Аренда!E6</f>
        <v>91200</v>
      </c>
      <c r="F103" s="3">
        <f>-Аренда!F6</f>
        <v>98496</v>
      </c>
      <c r="G103" s="3">
        <f>-Аренда!G6</f>
        <v>106375.68000000001</v>
      </c>
      <c r="H103" s="3">
        <f>-Аренда!H6</f>
        <v>114885.73440000002</v>
      </c>
      <c r="L103" s="3">
        <f>-Аренда!L6</f>
        <v>156300.7733126923</v>
      </c>
      <c r="M103" s="3">
        <f>-Аренда!M6</f>
        <v>168804.83517770769</v>
      </c>
      <c r="N103" s="3">
        <f>-Аренда!N6</f>
        <v>182309.22199192431</v>
      </c>
      <c r="O103" s="3">
        <f>-Аренда!O6</f>
        <v>196893.95975127828</v>
      </c>
      <c r="P103" s="3"/>
      <c r="Q103" s="3"/>
      <c r="R103" s="3">
        <f>-Аренда!R6</f>
        <v>248029.68382620229</v>
      </c>
      <c r="S103" s="3">
        <f>-Аренда!T6</f>
        <v>0</v>
      </c>
      <c r="T103" s="3">
        <f>-Аренда!U6</f>
        <v>0</v>
      </c>
      <c r="U103" s="3">
        <f>-Аренда!V6</f>
        <v>0</v>
      </c>
      <c r="V103" s="3">
        <f>-Аренда!W6</f>
        <v>0</v>
      </c>
      <c r="W103" s="3">
        <f>-Аренда!X6</f>
        <v>0</v>
      </c>
      <c r="X103" s="3">
        <f>-Аренда!Y6</f>
        <v>0</v>
      </c>
      <c r="Y103" s="3">
        <f>-Аренда!Z6</f>
        <v>0</v>
      </c>
      <c r="Z103" s="3">
        <f>-Аренда!AA6</f>
        <v>0</v>
      </c>
      <c r="AA103" s="3">
        <f>-Аренда!AB6</f>
        <v>0</v>
      </c>
      <c r="AB103" s="3">
        <f>-Аренда!AC6</f>
        <v>0</v>
      </c>
      <c r="AC103" s="3">
        <f>-Аренда!AD6</f>
        <v>0</v>
      </c>
      <c r="AD103" s="3">
        <f>-Аренда!AE6</f>
        <v>0</v>
      </c>
      <c r="AE103" s="3">
        <f>-Аренда!AF6</f>
        <v>0</v>
      </c>
      <c r="AF103" s="3">
        <f>-Аренда!AG6</f>
        <v>0</v>
      </c>
      <c r="AG103" s="3">
        <f>-Аренда!AH6</f>
        <v>0</v>
      </c>
      <c r="AH103" s="3">
        <f>-Аренда!AI6</f>
        <v>0</v>
      </c>
      <c r="AI103" s="3">
        <f>-Аренда!AJ6</f>
        <v>0</v>
      </c>
      <c r="AJ103" s="3">
        <f>-Аренда!AK6</f>
        <v>0</v>
      </c>
      <c r="AK103" s="3">
        <f>-Аренда!AL6</f>
        <v>0</v>
      </c>
      <c r="AL103" s="3">
        <f>-Аренда!AM6</f>
        <v>0</v>
      </c>
      <c r="AM103" s="3">
        <f>-Аренда!AN6</f>
        <v>0</v>
      </c>
      <c r="AS103" s="3">
        <f>-Аренда!AO6</f>
        <v>0</v>
      </c>
      <c r="AT103" s="3">
        <f>-Аренда!AP6</f>
        <v>0</v>
      </c>
      <c r="AU103" s="3">
        <f>-Аренда!AQ6</f>
        <v>0</v>
      </c>
      <c r="AV103" s="3">
        <f>-Аренда!AR6</f>
        <v>0</v>
      </c>
      <c r="AW103" s="3">
        <f>-Аренда!AS6</f>
        <v>0</v>
      </c>
      <c r="AX103" s="3">
        <f>-Аренда!AT6</f>
        <v>0</v>
      </c>
      <c r="AY103" s="3">
        <f>-Аренда!AU6</f>
        <v>0</v>
      </c>
      <c r="AZ103" s="3">
        <f>-Аренда!BA6</f>
        <v>0</v>
      </c>
      <c r="BA103" s="3">
        <f>-Аренда!BB6</f>
        <v>0</v>
      </c>
    </row>
    <row r="104" spans="2:89" ht="43.5" hidden="1" customHeight="1" x14ac:dyDescent="0.25"/>
    <row r="105" spans="2:89" ht="43.5" hidden="1" customHeight="1" x14ac:dyDescent="0.25"/>
    <row r="106" spans="2:89" ht="43.5" hidden="1" customHeight="1" x14ac:dyDescent="0.25"/>
    <row r="107" spans="2:89" ht="43.5" hidden="1" customHeight="1" x14ac:dyDescent="0.25"/>
    <row r="108" spans="2:89" ht="43.5" hidden="1" customHeight="1" x14ac:dyDescent="0.25"/>
    <row r="109" spans="2:89" ht="43.5" hidden="1" customHeight="1" x14ac:dyDescent="0.25"/>
    <row r="110" spans="2:89" ht="43.5" hidden="1" customHeight="1" x14ac:dyDescent="0.25"/>
    <row r="111" spans="2:89" ht="43.5" hidden="1" customHeight="1" x14ac:dyDescent="0.25"/>
    <row r="112" spans="2:89" ht="43.5" hidden="1" customHeight="1" x14ac:dyDescent="0.25"/>
    <row r="113" spans="2:4" ht="43.5" hidden="1" customHeight="1" x14ac:dyDescent="0.25"/>
    <row r="114" spans="2:4" ht="43.5" hidden="1" customHeight="1" x14ac:dyDescent="0.25"/>
    <row r="115" spans="2:4" ht="43.5" hidden="1" customHeight="1" x14ac:dyDescent="0.25"/>
    <row r="116" spans="2:4" ht="43.5" hidden="1" customHeight="1" x14ac:dyDescent="0.25">
      <c r="B116" s="2" t="s">
        <v>24</v>
      </c>
      <c r="C116" s="3" t="s">
        <v>27</v>
      </c>
      <c r="D116" s="3">
        <v>1</v>
      </c>
    </row>
    <row r="117" spans="2:4" ht="43.5" hidden="1" customHeight="1" x14ac:dyDescent="0.25">
      <c r="B117" s="2" t="s">
        <v>71</v>
      </c>
      <c r="C117" s="3" t="s">
        <v>12</v>
      </c>
      <c r="D117" s="3">
        <v>2</v>
      </c>
    </row>
    <row r="118" spans="2:4" ht="43.5" hidden="1" customHeight="1" x14ac:dyDescent="0.25"/>
    <row r="119" spans="2:4" ht="43.5" hidden="1" customHeight="1" x14ac:dyDescent="0.25"/>
    <row r="120" spans="2:4" ht="43.5" hidden="1" customHeight="1" x14ac:dyDescent="0.25">
      <c r="B120" s="2" t="s">
        <v>72</v>
      </c>
    </row>
    <row r="121" spans="2:4" ht="43.5" hidden="1" customHeight="1" x14ac:dyDescent="0.25">
      <c r="B121" s="2" t="s">
        <v>73</v>
      </c>
    </row>
    <row r="122" spans="2:4" ht="43.5" hidden="1" customHeight="1" x14ac:dyDescent="0.25"/>
    <row r="123" spans="2:4" ht="43.5" hidden="1" customHeight="1" x14ac:dyDescent="0.25">
      <c r="B123" s="64">
        <v>0.13</v>
      </c>
    </row>
    <row r="124" spans="2:4" ht="43.5" hidden="1" customHeight="1" x14ac:dyDescent="0.25">
      <c r="B124" s="64">
        <v>0.15</v>
      </c>
    </row>
    <row r="125" spans="2:4" ht="43.5" hidden="1" customHeight="1" x14ac:dyDescent="0.25">
      <c r="B125" s="64">
        <v>0.18</v>
      </c>
    </row>
    <row r="126" spans="2:4" ht="43.5" hidden="1" customHeight="1" x14ac:dyDescent="0.25">
      <c r="B126" s="64">
        <v>0.2</v>
      </c>
    </row>
    <row r="127" spans="2:4" ht="43.5" hidden="1" customHeight="1" x14ac:dyDescent="0.25">
      <c r="B127" s="64">
        <v>0.22</v>
      </c>
    </row>
    <row r="128" spans="2:4" hidden="1" x14ac:dyDescent="0.25"/>
    <row r="129" spans="2:7" hidden="1" x14ac:dyDescent="0.25">
      <c r="B129" s="4" t="s">
        <v>0</v>
      </c>
      <c r="C129" s="5"/>
      <c r="D129" s="6"/>
      <c r="E129" s="6"/>
      <c r="F129" s="6"/>
      <c r="G129" s="6"/>
    </row>
    <row r="130" spans="2:7" hidden="1" x14ac:dyDescent="0.25">
      <c r="B130" s="8"/>
      <c r="D130" s="9"/>
      <c r="E130" s="9"/>
      <c r="F130" s="9"/>
      <c r="G130" s="9"/>
    </row>
    <row r="131" spans="2:7" hidden="1" x14ac:dyDescent="0.25">
      <c r="C131" s="2"/>
      <c r="D131" s="2"/>
    </row>
    <row r="132" spans="2:7" hidden="1" x14ac:dyDescent="0.25">
      <c r="C132" s="2"/>
      <c r="D132" s="2"/>
    </row>
    <row r="133" spans="2:7" x14ac:dyDescent="0.25">
      <c r="C133" s="2"/>
      <c r="D133" s="2"/>
    </row>
    <row r="134" spans="2:7" x14ac:dyDescent="0.25">
      <c r="C134" s="2"/>
      <c r="D134" s="2"/>
    </row>
    <row r="135" spans="2:7" x14ac:dyDescent="0.25">
      <c r="C135" s="2"/>
      <c r="D135" s="2"/>
    </row>
    <row r="136" spans="2:7" x14ac:dyDescent="0.25">
      <c r="C136" s="2"/>
      <c r="D136" s="2"/>
    </row>
    <row r="137" spans="2:7" x14ac:dyDescent="0.25">
      <c r="C137" s="2"/>
      <c r="D137" s="2"/>
    </row>
    <row r="138" spans="2:7" x14ac:dyDescent="0.25">
      <c r="C138" s="2"/>
      <c r="D138" s="2"/>
    </row>
    <row r="139" spans="2:7" x14ac:dyDescent="0.25">
      <c r="C139" s="2"/>
      <c r="D139" s="2"/>
    </row>
    <row r="140" spans="2:7" x14ac:dyDescent="0.25">
      <c r="C140" s="2"/>
      <c r="D140" s="2"/>
    </row>
    <row r="141" spans="2:7" x14ac:dyDescent="0.25">
      <c r="C141" s="2"/>
      <c r="D141" s="2"/>
    </row>
    <row r="142" spans="2:7" x14ac:dyDescent="0.25">
      <c r="C142" s="2"/>
      <c r="D142" s="2"/>
    </row>
    <row r="143" spans="2:7" x14ac:dyDescent="0.25">
      <c r="C143" s="2"/>
      <c r="D143" s="2"/>
    </row>
    <row r="144" spans="2:7" x14ac:dyDescent="0.25">
      <c r="C144" s="2"/>
      <c r="D144" s="2"/>
    </row>
    <row r="145" s="2" customFormat="1" ht="12.75" x14ac:dyDescent="0.2"/>
    <row r="146" s="2" customFormat="1" ht="12.75" x14ac:dyDescent="0.2"/>
    <row r="147" s="2" customFormat="1" ht="12.75" x14ac:dyDescent="0.2"/>
    <row r="148" s="2" customFormat="1" ht="12.75" x14ac:dyDescent="0.2"/>
    <row r="149" s="2" customFormat="1" ht="12.75" x14ac:dyDescent="0.2"/>
    <row r="150" s="2" customFormat="1" ht="12.75" x14ac:dyDescent="0.2"/>
    <row r="151" s="2" customFormat="1" ht="12.75" x14ac:dyDescent="0.2"/>
    <row r="152" s="2" customFormat="1" ht="12.75" x14ac:dyDescent="0.2"/>
    <row r="153" s="2" customFormat="1" ht="12.75" x14ac:dyDescent="0.2"/>
    <row r="154" s="2" customFormat="1" ht="12.75" x14ac:dyDescent="0.2"/>
    <row r="155" s="2" customFormat="1" ht="12.75" x14ac:dyDescent="0.2"/>
    <row r="156" s="2" customFormat="1" ht="12.75" x14ac:dyDescent="0.2"/>
    <row r="157" s="2" customFormat="1" ht="12.75" x14ac:dyDescent="0.2"/>
    <row r="158" s="2" customFormat="1" ht="12.75" x14ac:dyDescent="0.2"/>
    <row r="159" s="2" customFormat="1" ht="12.75" x14ac:dyDescent="0.2"/>
    <row r="160" s="2" customFormat="1" ht="12.75" x14ac:dyDescent="0.2"/>
    <row r="161" s="2" customFormat="1" ht="12.75" x14ac:dyDescent="0.2"/>
    <row r="162" s="2" customFormat="1" ht="12.75" x14ac:dyDescent="0.2"/>
    <row r="163" s="2" customFormat="1" ht="12.75" x14ac:dyDescent="0.2"/>
    <row r="164" s="2" customFormat="1" ht="12.75" x14ac:dyDescent="0.2"/>
    <row r="165" s="2" customFormat="1" ht="12.75" x14ac:dyDescent="0.2"/>
    <row r="166" s="2" customFormat="1" ht="12.75" x14ac:dyDescent="0.2"/>
    <row r="167" s="2" customFormat="1" ht="12.75" x14ac:dyDescent="0.2"/>
    <row r="168" s="2" customFormat="1" ht="12.75" x14ac:dyDescent="0.2"/>
    <row r="169" s="2" customFormat="1" ht="12.75" x14ac:dyDescent="0.2"/>
    <row r="170" s="2" customFormat="1" ht="12.75" x14ac:dyDescent="0.2"/>
    <row r="171" s="2" customFormat="1" ht="12.75" x14ac:dyDescent="0.2"/>
    <row r="172" s="2" customFormat="1" ht="12.75" x14ac:dyDescent="0.2"/>
    <row r="173" s="2" customFormat="1" ht="12.75" x14ac:dyDescent="0.2"/>
    <row r="174" s="2" customFormat="1" ht="12.75" x14ac:dyDescent="0.2"/>
    <row r="175" s="2" customFormat="1" ht="12.75" x14ac:dyDescent="0.2"/>
    <row r="176" s="2" customFormat="1" ht="12.75" x14ac:dyDescent="0.2"/>
    <row r="177" s="2" customFormat="1" ht="12.75" x14ac:dyDescent="0.2"/>
    <row r="178" s="2" customFormat="1" ht="12.75" x14ac:dyDescent="0.2"/>
    <row r="179" s="2" customFormat="1" ht="12.75" x14ac:dyDescent="0.2"/>
    <row r="180" s="2" customFormat="1" ht="12.75" x14ac:dyDescent="0.2"/>
    <row r="181" s="2" customFormat="1" ht="12.75" x14ac:dyDescent="0.2"/>
    <row r="182" s="2" customFormat="1" ht="12.75" x14ac:dyDescent="0.2"/>
    <row r="183" s="2" customFormat="1" ht="12.75" x14ac:dyDescent="0.2"/>
    <row r="184" s="2" customFormat="1" ht="12.75" x14ac:dyDescent="0.2"/>
    <row r="185" s="2" customFormat="1" ht="12.75" x14ac:dyDescent="0.2"/>
    <row r="186" s="2" customFormat="1" ht="12.75" x14ac:dyDescent="0.2"/>
  </sheetData>
  <mergeCells count="8">
    <mergeCell ref="AF9:AL9"/>
    <mergeCell ref="AH36:AL36"/>
    <mergeCell ref="I15:K17"/>
    <mergeCell ref="AH45:AL45"/>
    <mergeCell ref="AH27:AL27"/>
    <mergeCell ref="AH19:AL19"/>
    <mergeCell ref="AF18:AL18"/>
    <mergeCell ref="AH10:AL10"/>
  </mergeCells>
  <conditionalFormatting sqref="B12:D17 H32:H37 J32:N37 H59 J59:N59">
    <cfRule type="expression" dxfId="48" priority="6">
      <formula>$D$11="Нет"</formula>
    </cfRule>
  </conditionalFormatting>
  <conditionalFormatting sqref="B20:D23 H40:H43 J40:N43">
    <cfRule type="expression" dxfId="47" priority="3">
      <formula>$D$19="Нет"</formula>
    </cfRule>
  </conditionalFormatting>
  <conditionalFormatting sqref="B21:D21 H41 J41:N41">
    <cfRule type="expression" dxfId="46" priority="5">
      <formula>$D$20="Нет"</formula>
    </cfRule>
  </conditionalFormatting>
  <conditionalFormatting sqref="B22:D23 H42:H43 J42:N43">
    <cfRule type="expression" dxfId="45" priority="2">
      <formula>$D$20="Да"</formula>
    </cfRule>
  </conditionalFormatting>
  <conditionalFormatting sqref="B37:D39 H57:H59 J57:N59">
    <cfRule type="expression" dxfId="44" priority="1">
      <formula>$D$36="Нет"</formula>
    </cfRule>
  </conditionalFormatting>
  <conditionalFormatting sqref="B39:D39">
    <cfRule type="expression" dxfId="43" priority="4">
      <formula>$D$11="Нет"</formula>
    </cfRule>
  </conditionalFormatting>
  <conditionalFormatting sqref="B45:D55 H65:H75 J65:N75">
    <cfRule type="expression" dxfId="42" priority="7">
      <formula>$D$43="Нет"</formula>
    </cfRule>
  </conditionalFormatting>
  <conditionalFormatting sqref="B50:D50 H70 J70:N70">
    <cfRule type="expression" dxfId="41" priority="8">
      <formula>$D$49="Нет"</formula>
    </cfRule>
  </conditionalFormatting>
  <conditionalFormatting sqref="B54:D54 H74 J74:N74">
    <cfRule type="expression" dxfId="40" priority="10">
      <formula>$D$53="₽"</formula>
    </cfRule>
  </conditionalFormatting>
  <conditionalFormatting sqref="B55:D55 H75 J75:N75">
    <cfRule type="expression" dxfId="39" priority="9">
      <formula>$D$53="%"</formula>
    </cfRule>
  </conditionalFormatting>
  <conditionalFormatting sqref="C36">
    <cfRule type="expression" dxfId="38" priority="1317">
      <formula>$D$19="Нет"</formula>
    </cfRule>
  </conditionalFormatting>
  <conditionalFormatting sqref="C43 J63">
    <cfRule type="expression" dxfId="37" priority="1301">
      <formula>$D$19="Нет"</formula>
    </cfRule>
  </conditionalFormatting>
  <conditionalFormatting sqref="I10:K13">
    <cfRule type="expression" dxfId="36" priority="1389">
      <formula>$D$11="Нет"</formula>
    </cfRule>
  </conditionalFormatting>
  <conditionalFormatting sqref="J4">
    <cfRule type="expression" dxfId="35" priority="1321">
      <formula>$J$4&gt;$K$4</formula>
    </cfRule>
  </conditionalFormatting>
  <conditionalFormatting sqref="J56">
    <cfRule type="expression" dxfId="34" priority="930">
      <formula>$D$19="Нет"</formula>
    </cfRule>
  </conditionalFormatting>
  <conditionalFormatting sqref="J4:K4">
    <cfRule type="cellIs" dxfId="33" priority="1316" operator="lessThan">
      <formula>0</formula>
    </cfRule>
  </conditionalFormatting>
  <conditionalFormatting sqref="K4">
    <cfRule type="expression" dxfId="32" priority="1320">
      <formula>$K$4&gt;$J$4</formula>
    </cfRule>
  </conditionalFormatting>
  <conditionalFormatting sqref="P32:P37">
    <cfRule type="expression" dxfId="31" priority="479">
      <formula>$D$11="Нет"</formula>
    </cfRule>
  </conditionalFormatting>
  <conditionalFormatting sqref="P40:P43">
    <cfRule type="expression" dxfId="30" priority="476">
      <formula>$D$19="Нет"</formula>
    </cfRule>
  </conditionalFormatting>
  <conditionalFormatting sqref="P41">
    <cfRule type="expression" dxfId="29" priority="478">
      <formula>$D$20="Нет"</formula>
    </cfRule>
  </conditionalFormatting>
  <conditionalFormatting sqref="P42:P43">
    <cfRule type="expression" dxfId="28" priority="475">
      <formula>$D$20="Да"</formula>
    </cfRule>
  </conditionalFormatting>
  <conditionalFormatting sqref="P57:P59">
    <cfRule type="expression" dxfId="27" priority="474">
      <formula>$D$36="Нет"</formula>
    </cfRule>
  </conditionalFormatting>
  <conditionalFormatting sqref="P59">
    <cfRule type="expression" dxfId="26" priority="477">
      <formula>$D$11="Нет"</formula>
    </cfRule>
  </conditionalFormatting>
  <conditionalFormatting sqref="P65:P75">
    <cfRule type="expression" dxfId="25" priority="480">
      <formula>$D$43="Нет"</formula>
    </cfRule>
  </conditionalFormatting>
  <conditionalFormatting sqref="P70">
    <cfRule type="expression" dxfId="24" priority="481">
      <formula>$D$49="Нет"</formula>
    </cfRule>
  </conditionalFormatting>
  <conditionalFormatting sqref="P74">
    <cfRule type="expression" dxfId="23" priority="483">
      <formula>$D$53="₽"</formula>
    </cfRule>
  </conditionalFormatting>
  <conditionalFormatting sqref="P75">
    <cfRule type="expression" dxfId="22" priority="482">
      <formula>$D$53="%"</formula>
    </cfRule>
  </conditionalFormatting>
  <conditionalFormatting sqref="AH12:AL16 AH21:AL25 AH29:AL33">
    <cfRule type="colorScale" priority="10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38:AL42">
    <cfRule type="colorScale" priority="1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47:AL51">
    <cfRule type="colorScale" priority="10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67:AM72">
    <cfRule type="colorScale" priority="10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54:AO61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T54:BA61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47:AY51">
    <cfRule type="colorScale" priority="10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disablePrompts="1" count="4">
    <dataValidation type="custom" allowBlank="1" showInputMessage="1" showErrorMessage="1" sqref="K36:N36 P36 D16" xr:uid="{642806EF-AAC4-4574-8CEF-C4B82DFE5DB3}">
      <formula1>D16&lt;=D7</formula1>
    </dataValidation>
    <dataValidation type="list" allowBlank="1" showInputMessage="1" showErrorMessage="1" sqref="K57:N57 D37" xr:uid="{155AB1D9-3BC7-48D9-A4E0-BFA1B1FB1DCC}">
      <formula1>$B$123:$B$127</formula1>
    </dataValidation>
    <dataValidation type="list" allowBlank="1" showInputMessage="1" showErrorMessage="1" sqref="K73:N73 D53" xr:uid="{AC602DD8-B41D-4DFD-8356-0F51DFAA88ED}">
      <formula1>$C$116:$C$117</formula1>
    </dataValidation>
    <dataValidation type="list" allowBlank="1" showInputMessage="1" showErrorMessage="1" sqref="K69:N69 K39:N40 K63:N63 K31:N31 K56:N56 D49 D19:D20 D43 D11 D36" xr:uid="{D8DE3E42-AD10-4AE3-B73A-B218C447AA76}">
      <formula1>$B$116:$B$117</formula1>
    </dataValidation>
  </dataValidations>
  <hyperlinks>
    <hyperlink ref="E2" location="Документация!B3" display="Help" xr:uid="{8A636F3F-2545-4E94-8D0B-B895FD1802CD}"/>
    <hyperlink ref="L2" location="Документация!B63" display="Help" xr:uid="{E77152BA-32F1-4A0B-8F14-323B20E6BC74}"/>
    <hyperlink ref="O23" location="Документация!B73" display="Help" xr:uid="{82A9E3B9-3A98-4375-8720-3BF0EDAA9146}"/>
  </hyperlink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6BEE3-8A61-4A29-99C8-E1F7C8443EED}">
  <sheetPr codeName="Лист3">
    <tabColor theme="6"/>
  </sheetPr>
  <dimension ref="A1:J96"/>
  <sheetViews>
    <sheetView showGridLines="0" zoomScale="115" zoomScaleNormal="115" workbookViewId="0">
      <pane ySplit="1" topLeftCell="A67" activePane="bottomLeft" state="frozen"/>
      <selection activeCell="B13" sqref="B13"/>
      <selection pane="bottomLeft" activeCell="B73" sqref="B73"/>
    </sheetView>
  </sheetViews>
  <sheetFormatPr defaultRowHeight="15" x14ac:dyDescent="0.25"/>
  <cols>
    <col min="2" max="2" width="42.5703125" style="66" customWidth="1"/>
    <col min="3" max="3" width="74.85546875" style="67" bestFit="1" customWidth="1"/>
    <col min="4" max="4" width="71.42578125" style="68" customWidth="1"/>
    <col min="5" max="5" width="9.140625" style="68" customWidth="1"/>
    <col min="6" max="10" width="9.140625" style="68"/>
  </cols>
  <sheetData>
    <row r="1" spans="1:3" ht="21.75" thickBot="1" x14ac:dyDescent="0.4">
      <c r="A1" s="65" t="s">
        <v>78</v>
      </c>
    </row>
    <row r="2" spans="1:3" ht="15.75" thickBot="1" x14ac:dyDescent="0.3">
      <c r="B2" s="69" t="s">
        <v>79</v>
      </c>
      <c r="C2" s="70"/>
    </row>
    <row r="3" spans="1:3" x14ac:dyDescent="0.25">
      <c r="B3" s="4" t="s">
        <v>0</v>
      </c>
      <c r="C3" s="70"/>
    </row>
    <row r="4" spans="1:3" x14ac:dyDescent="0.25">
      <c r="B4" s="71" t="s">
        <v>4</v>
      </c>
      <c r="C4" s="72"/>
    </row>
    <row r="5" spans="1:3" ht="63.75" x14ac:dyDescent="0.25">
      <c r="B5" s="73" t="s">
        <v>11</v>
      </c>
      <c r="C5" s="74" t="s">
        <v>80</v>
      </c>
    </row>
    <row r="6" spans="1:3" x14ac:dyDescent="0.25">
      <c r="B6" s="73" t="s">
        <v>15</v>
      </c>
      <c r="C6" s="75" t="s">
        <v>81</v>
      </c>
    </row>
    <row r="7" spans="1:3" x14ac:dyDescent="0.25">
      <c r="B7" s="73" t="s">
        <v>17</v>
      </c>
      <c r="C7" s="75" t="s">
        <v>82</v>
      </c>
    </row>
    <row r="8" spans="1:3" x14ac:dyDescent="0.25">
      <c r="B8" s="76"/>
      <c r="C8" s="75"/>
    </row>
    <row r="9" spans="1:3" ht="76.5" x14ac:dyDescent="0.25">
      <c r="B9" s="76" t="s">
        <v>188</v>
      </c>
      <c r="C9" s="74" t="s">
        <v>181</v>
      </c>
    </row>
    <row r="10" spans="1:3" ht="38.25" x14ac:dyDescent="0.25">
      <c r="B10" s="76" t="s">
        <v>191</v>
      </c>
      <c r="C10" s="295" t="s">
        <v>232</v>
      </c>
    </row>
    <row r="11" spans="1:3" x14ac:dyDescent="0.25">
      <c r="B11" s="76"/>
      <c r="C11" s="75"/>
    </row>
    <row r="12" spans="1:3" x14ac:dyDescent="0.25">
      <c r="B12" s="76" t="s">
        <v>22</v>
      </c>
      <c r="C12" s="75" t="s">
        <v>83</v>
      </c>
    </row>
    <row r="13" spans="1:3" ht="76.5" x14ac:dyDescent="0.25">
      <c r="B13" s="76" t="s">
        <v>26</v>
      </c>
      <c r="C13" s="74" t="s">
        <v>84</v>
      </c>
    </row>
    <row r="14" spans="1:3" ht="25.5" x14ac:dyDescent="0.25">
      <c r="B14" s="76" t="s">
        <v>28</v>
      </c>
      <c r="C14" s="74" t="s">
        <v>85</v>
      </c>
    </row>
    <row r="15" spans="1:3" ht="25.5" x14ac:dyDescent="0.25">
      <c r="B15" s="73" t="s">
        <v>31</v>
      </c>
      <c r="C15" s="74" t="s">
        <v>230</v>
      </c>
    </row>
    <row r="16" spans="1:3" ht="76.5" x14ac:dyDescent="0.25">
      <c r="B16" s="76" t="s">
        <v>33</v>
      </c>
      <c r="C16" s="74" t="s">
        <v>179</v>
      </c>
    </row>
    <row r="17" spans="2:3" x14ac:dyDescent="0.25">
      <c r="B17" s="76" t="s">
        <v>35</v>
      </c>
      <c r="C17" s="75" t="s">
        <v>86</v>
      </c>
    </row>
    <row r="18" spans="2:3" ht="38.25" x14ac:dyDescent="0.25">
      <c r="B18" s="76" t="s">
        <v>32</v>
      </c>
      <c r="C18" s="74" t="s">
        <v>87</v>
      </c>
    </row>
    <row r="19" spans="2:3" x14ac:dyDescent="0.25">
      <c r="B19" s="76"/>
      <c r="C19" s="75"/>
    </row>
    <row r="20" spans="2:3" ht="51" x14ac:dyDescent="0.25">
      <c r="B20" s="76" t="s">
        <v>38</v>
      </c>
      <c r="C20" s="74" t="s">
        <v>88</v>
      </c>
    </row>
    <row r="21" spans="2:3" ht="51" x14ac:dyDescent="0.25">
      <c r="B21" s="76" t="s">
        <v>39</v>
      </c>
      <c r="C21" s="74" t="s">
        <v>89</v>
      </c>
    </row>
    <row r="22" spans="2:3" ht="51" x14ac:dyDescent="0.25">
      <c r="B22" s="76" t="s">
        <v>40</v>
      </c>
      <c r="C22" s="74" t="s">
        <v>90</v>
      </c>
    </row>
    <row r="23" spans="2:3" x14ac:dyDescent="0.25">
      <c r="B23" s="76" t="s">
        <v>41</v>
      </c>
      <c r="C23" s="75" t="s">
        <v>91</v>
      </c>
    </row>
    <row r="24" spans="2:3" x14ac:dyDescent="0.25">
      <c r="B24" s="76" t="s">
        <v>44</v>
      </c>
      <c r="C24" s="75" t="s">
        <v>92</v>
      </c>
    </row>
    <row r="25" spans="2:3" x14ac:dyDescent="0.25">
      <c r="B25" s="76"/>
      <c r="C25" s="75"/>
    </row>
    <row r="26" spans="2:3" ht="114.75" x14ac:dyDescent="0.25">
      <c r="B26" s="76" t="s">
        <v>45</v>
      </c>
      <c r="C26" s="74" t="s">
        <v>93</v>
      </c>
    </row>
    <row r="27" spans="2:3" ht="25.5" x14ac:dyDescent="0.25">
      <c r="B27" s="76" t="s">
        <v>46</v>
      </c>
      <c r="C27" s="74" t="s">
        <v>94</v>
      </c>
    </row>
    <row r="28" spans="2:3" x14ac:dyDescent="0.25">
      <c r="B28" s="76"/>
      <c r="C28" s="75"/>
    </row>
    <row r="29" spans="2:3" ht="127.5" x14ac:dyDescent="0.25">
      <c r="B29" s="76" t="s">
        <v>47</v>
      </c>
      <c r="C29" s="74" t="s">
        <v>95</v>
      </c>
    </row>
    <row r="30" spans="2:3" ht="51" x14ac:dyDescent="0.25">
      <c r="B30" s="76" t="s">
        <v>48</v>
      </c>
      <c r="C30" s="74" t="s">
        <v>96</v>
      </c>
    </row>
    <row r="31" spans="2:3" x14ac:dyDescent="0.25">
      <c r="B31" s="76" t="s">
        <v>49</v>
      </c>
      <c r="C31" s="75" t="s">
        <v>97</v>
      </c>
    </row>
    <row r="32" spans="2:3" x14ac:dyDescent="0.25">
      <c r="B32" s="76" t="s">
        <v>50</v>
      </c>
      <c r="C32" s="75" t="s">
        <v>98</v>
      </c>
    </row>
    <row r="33" spans="2:3" x14ac:dyDescent="0.25">
      <c r="B33" s="76"/>
      <c r="C33" s="75"/>
    </row>
    <row r="34" spans="2:3" ht="25.5" x14ac:dyDescent="0.25">
      <c r="B34" s="73" t="s">
        <v>51</v>
      </c>
      <c r="C34" s="74" t="s">
        <v>99</v>
      </c>
    </row>
    <row r="35" spans="2:3" ht="63.75" x14ac:dyDescent="0.25">
      <c r="B35" s="76" t="s">
        <v>52</v>
      </c>
      <c r="C35" s="77" t="s">
        <v>100</v>
      </c>
    </row>
    <row r="36" spans="2:3" x14ac:dyDescent="0.25">
      <c r="B36" s="76"/>
      <c r="C36" s="75"/>
    </row>
    <row r="37" spans="2:3" ht="25.5" x14ac:dyDescent="0.25">
      <c r="B37" s="76" t="s">
        <v>53</v>
      </c>
      <c r="C37" s="74" t="s">
        <v>101</v>
      </c>
    </row>
    <row r="38" spans="2:3" ht="102" x14ac:dyDescent="0.25">
      <c r="B38" s="76" t="s">
        <v>54</v>
      </c>
      <c r="C38" s="74" t="s">
        <v>236</v>
      </c>
    </row>
    <row r="39" spans="2:3" ht="25.5" x14ac:dyDescent="0.25">
      <c r="B39" s="76" t="s">
        <v>55</v>
      </c>
      <c r="C39" s="74" t="s">
        <v>234</v>
      </c>
    </row>
    <row r="40" spans="2:3" ht="51" x14ac:dyDescent="0.25">
      <c r="B40" s="76" t="s">
        <v>56</v>
      </c>
      <c r="C40" s="74" t="s">
        <v>235</v>
      </c>
    </row>
    <row r="41" spans="2:3" x14ac:dyDescent="0.25">
      <c r="B41" s="76"/>
      <c r="C41" s="75"/>
    </row>
    <row r="42" spans="2:3" x14ac:dyDescent="0.25">
      <c r="B42" s="71" t="s">
        <v>57</v>
      </c>
      <c r="C42" s="72"/>
    </row>
    <row r="43" spans="2:3" ht="114.75" x14ac:dyDescent="0.25">
      <c r="B43" s="73" t="s">
        <v>58</v>
      </c>
      <c r="C43" s="74" t="s">
        <v>102</v>
      </c>
    </row>
    <row r="44" spans="2:3" ht="25.5" x14ac:dyDescent="0.25">
      <c r="B44" s="73" t="s">
        <v>59</v>
      </c>
      <c r="C44" s="74" t="s">
        <v>103</v>
      </c>
    </row>
    <row r="45" spans="2:3" ht="140.25" x14ac:dyDescent="0.25">
      <c r="B45" s="73" t="s">
        <v>104</v>
      </c>
      <c r="C45" s="74" t="s">
        <v>105</v>
      </c>
    </row>
    <row r="46" spans="2:3" x14ac:dyDescent="0.25">
      <c r="B46" s="76" t="s">
        <v>60</v>
      </c>
      <c r="C46" s="74" t="s">
        <v>106</v>
      </c>
    </row>
    <row r="47" spans="2:3" ht="76.5" x14ac:dyDescent="0.25">
      <c r="B47" s="76" t="s">
        <v>47</v>
      </c>
      <c r="C47" s="74" t="s">
        <v>107</v>
      </c>
    </row>
    <row r="48" spans="2:3" x14ac:dyDescent="0.25">
      <c r="B48" s="76" t="s">
        <v>61</v>
      </c>
      <c r="C48" s="75" t="s">
        <v>108</v>
      </c>
    </row>
    <row r="49" spans="2:4" x14ac:dyDescent="0.25">
      <c r="B49" s="76"/>
      <c r="C49" s="75"/>
    </row>
    <row r="50" spans="2:4" x14ac:dyDescent="0.25">
      <c r="B50" s="76" t="s">
        <v>62</v>
      </c>
      <c r="C50" s="75" t="s">
        <v>109</v>
      </c>
    </row>
    <row r="51" spans="2:4" ht="51" x14ac:dyDescent="0.25">
      <c r="B51" s="76" t="s">
        <v>63</v>
      </c>
      <c r="C51" s="74" t="s">
        <v>110</v>
      </c>
    </row>
    <row r="52" spans="2:4" ht="38.25" x14ac:dyDescent="0.25">
      <c r="B52" s="76" t="s">
        <v>64</v>
      </c>
      <c r="C52" s="74" t="s">
        <v>111</v>
      </c>
    </row>
    <row r="53" spans="2:4" x14ac:dyDescent="0.25">
      <c r="B53" s="76"/>
      <c r="C53" s="75"/>
    </row>
    <row r="54" spans="2:4" ht="38.25" x14ac:dyDescent="0.25">
      <c r="B54" s="76" t="s">
        <v>65</v>
      </c>
      <c r="C54" s="74" t="s">
        <v>233</v>
      </c>
    </row>
    <row r="55" spans="2:4" ht="51" x14ac:dyDescent="0.25">
      <c r="B55" s="76" t="s">
        <v>67</v>
      </c>
      <c r="C55" s="74" t="s">
        <v>112</v>
      </c>
    </row>
    <row r="56" spans="2:4" ht="38.25" x14ac:dyDescent="0.25">
      <c r="B56" s="76" t="s">
        <v>68</v>
      </c>
      <c r="C56" s="74" t="s">
        <v>113</v>
      </c>
    </row>
    <row r="57" spans="2:4" x14ac:dyDescent="0.25">
      <c r="B57" s="76"/>
      <c r="C57" s="75"/>
    </row>
    <row r="58" spans="2:4" x14ac:dyDescent="0.25">
      <c r="B58" s="71" t="s">
        <v>69</v>
      </c>
      <c r="C58" s="72"/>
    </row>
    <row r="59" spans="2:4" ht="38.25" x14ac:dyDescent="0.25">
      <c r="B59" s="73" t="s">
        <v>180</v>
      </c>
      <c r="C59" s="74" t="s">
        <v>231</v>
      </c>
    </row>
    <row r="60" spans="2:4" ht="39" thickBot="1" x14ac:dyDescent="0.3">
      <c r="B60" s="78" t="s">
        <v>70</v>
      </c>
      <c r="C60" s="79" t="s">
        <v>114</v>
      </c>
    </row>
    <row r="61" spans="2:4" ht="15.75" thickBot="1" x14ac:dyDescent="0.3">
      <c r="B61" s="4" t="s">
        <v>2</v>
      </c>
      <c r="C61" s="80" t="s">
        <v>115</v>
      </c>
      <c r="D61" s="81"/>
    </row>
    <row r="62" spans="2:4" x14ac:dyDescent="0.25">
      <c r="B62" s="28" t="s">
        <v>7</v>
      </c>
      <c r="C62" s="82" t="s">
        <v>8</v>
      </c>
      <c r="D62" s="29" t="s">
        <v>9</v>
      </c>
    </row>
    <row r="63" spans="2:4" ht="102" x14ac:dyDescent="0.25">
      <c r="B63" s="83" t="s">
        <v>13</v>
      </c>
      <c r="C63" s="84" t="s">
        <v>116</v>
      </c>
      <c r="D63" s="85" t="s">
        <v>195</v>
      </c>
    </row>
    <row r="64" spans="2:4" ht="76.5" x14ac:dyDescent="0.25">
      <c r="B64" s="83" t="s">
        <v>208</v>
      </c>
      <c r="C64" s="84" t="s">
        <v>222</v>
      </c>
      <c r="D64" s="85" t="s">
        <v>117</v>
      </c>
    </row>
    <row r="65" spans="2:10" ht="51" customHeight="1" thickBot="1" x14ac:dyDescent="0.3">
      <c r="B65" s="221" t="s">
        <v>225</v>
      </c>
      <c r="C65" s="333" t="s">
        <v>226</v>
      </c>
      <c r="D65" s="334"/>
    </row>
    <row r="66" spans="2:10" ht="15.75" thickBot="1" x14ac:dyDescent="0.3">
      <c r="B66" s="290"/>
      <c r="C66" s="84"/>
      <c r="D66" s="291"/>
    </row>
    <row r="67" spans="2:10" ht="39" thickBot="1" x14ac:dyDescent="0.3">
      <c r="B67" s="292" t="s">
        <v>25</v>
      </c>
      <c r="C67" s="293" t="s">
        <v>227</v>
      </c>
      <c r="D67" s="294" t="s">
        <v>228</v>
      </c>
    </row>
    <row r="68" spans="2:10" ht="15.75" thickBot="1" x14ac:dyDescent="0.3"/>
    <row r="69" spans="2:10" x14ac:dyDescent="0.25">
      <c r="B69" s="33" t="s">
        <v>29</v>
      </c>
      <c r="C69" s="34" t="s">
        <v>8</v>
      </c>
      <c r="D69" s="35" t="s">
        <v>30</v>
      </c>
    </row>
    <row r="70" spans="2:10" ht="38.25" x14ac:dyDescent="0.25">
      <c r="B70" s="76" t="s">
        <v>32</v>
      </c>
      <c r="C70" s="86" t="s">
        <v>87</v>
      </c>
      <c r="D70" s="19"/>
    </row>
    <row r="71" spans="2:10" ht="127.5" x14ac:dyDescent="0.25">
      <c r="B71" s="76" t="s">
        <v>34</v>
      </c>
      <c r="C71" s="84" t="s">
        <v>118</v>
      </c>
      <c r="D71" s="19"/>
    </row>
    <row r="72" spans="2:10" ht="15.75" thickBot="1" x14ac:dyDescent="0.3">
      <c r="B72" s="78" t="s">
        <v>36</v>
      </c>
      <c r="C72" s="87" t="s">
        <v>119</v>
      </c>
      <c r="D72" s="26"/>
    </row>
    <row r="73" spans="2:10" ht="15.75" thickBot="1" x14ac:dyDescent="0.3"/>
    <row r="74" spans="2:10" ht="15.75" x14ac:dyDescent="0.25">
      <c r="B74" s="41" t="s">
        <v>43</v>
      </c>
      <c r="C74" s="70"/>
    </row>
    <row r="75" spans="2:10" ht="3.75" customHeight="1" x14ac:dyDescent="0.25">
      <c r="B75" s="330"/>
      <c r="C75" s="331"/>
      <c r="I75" s="332" t="s">
        <v>175</v>
      </c>
      <c r="J75" s="332"/>
    </row>
    <row r="76" spans="2:10" x14ac:dyDescent="0.25">
      <c r="B76" s="76" t="s">
        <v>74</v>
      </c>
      <c r="C76" s="75" t="s">
        <v>176</v>
      </c>
    </row>
    <row r="77" spans="2:10" x14ac:dyDescent="0.25">
      <c r="B77" s="76" t="s">
        <v>75</v>
      </c>
      <c r="C77" s="75" t="s">
        <v>177</v>
      </c>
    </row>
    <row r="78" spans="2:10" ht="25.5" x14ac:dyDescent="0.25">
      <c r="B78" s="76" t="s">
        <v>76</v>
      </c>
      <c r="C78" s="74" t="s">
        <v>206</v>
      </c>
    </row>
    <row r="79" spans="2:10" ht="15.75" thickBot="1" x14ac:dyDescent="0.3">
      <c r="B79" s="78" t="s">
        <v>77</v>
      </c>
      <c r="C79" s="79" t="s">
        <v>207</v>
      </c>
    </row>
    <row r="95" spans="2:2" hidden="1" x14ac:dyDescent="0.25">
      <c r="B95" s="66" t="s">
        <v>220</v>
      </c>
    </row>
    <row r="96" spans="2:2" hidden="1" x14ac:dyDescent="0.25">
      <c r="B96" s="66" t="s">
        <v>221</v>
      </c>
    </row>
  </sheetData>
  <mergeCells count="3">
    <mergeCell ref="B75:C75"/>
    <mergeCell ref="I75:J75"/>
    <mergeCell ref="C65:D65"/>
  </mergeCells>
  <conditionalFormatting sqref="B13:B18">
    <cfRule type="expression" dxfId="21" priority="4">
      <formula>$D$12="Нет"</formula>
    </cfRule>
  </conditionalFormatting>
  <conditionalFormatting sqref="B21:B24">
    <cfRule type="expression" dxfId="20" priority="12">
      <formula>$D$20="Нет"</formula>
    </cfRule>
  </conditionalFormatting>
  <conditionalFormatting sqref="B22">
    <cfRule type="expression" dxfId="19" priority="10">
      <formula>$D$21="Нет"</formula>
    </cfRule>
  </conditionalFormatting>
  <conditionalFormatting sqref="B23:B24">
    <cfRule type="expression" dxfId="18" priority="11">
      <formula>$D$21="Да"</formula>
    </cfRule>
  </conditionalFormatting>
  <conditionalFormatting sqref="B38:B40">
    <cfRule type="expression" dxfId="17" priority="3">
      <formula>$D$37="Нет"</formula>
    </cfRule>
  </conditionalFormatting>
  <conditionalFormatting sqref="B40">
    <cfRule type="expression" dxfId="16" priority="2">
      <formula>$D$12="Нет"</formula>
    </cfRule>
  </conditionalFormatting>
  <conditionalFormatting sqref="B47">
    <cfRule type="expression" dxfId="15" priority="6">
      <formula>$B$42="Сценарий накопления"</formula>
    </cfRule>
  </conditionalFormatting>
  <conditionalFormatting sqref="B47:B56">
    <cfRule type="expression" dxfId="14" priority="5">
      <formula>$D$44="Нет"</formula>
    </cfRule>
  </conditionalFormatting>
  <conditionalFormatting sqref="B51">
    <cfRule type="expression" dxfId="13" priority="7">
      <formula>$D$50="Нет"</formula>
    </cfRule>
  </conditionalFormatting>
  <conditionalFormatting sqref="B55">
    <cfRule type="expression" dxfId="12" priority="9">
      <formula>$D$54="₽"</formula>
    </cfRule>
  </conditionalFormatting>
  <conditionalFormatting sqref="B56">
    <cfRule type="expression" dxfId="11" priority="8">
      <formula>$D$54="%"</formula>
    </cfRule>
  </conditionalFormatting>
  <conditionalFormatting sqref="B69:D72">
    <cfRule type="expression" dxfId="10" priority="1">
      <formula>$D$12="Нет"</formula>
    </cfRule>
  </conditionalFormatting>
  <hyperlinks>
    <hyperlink ref="A1" location="Вводные!A1" display="&lt;===" xr:uid="{C2AF584A-3B9C-4A64-BFA7-D5AF0EE8CC4E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D014F-2B24-4720-ACD5-6ADBAD5672AB}">
  <sheetPr codeName="Лист4">
    <tabColor theme="0" tint="-0.249977111117893"/>
  </sheetPr>
  <dimension ref="B1:B2"/>
  <sheetViews>
    <sheetView showGridLines="0" workbookViewId="0">
      <selection activeCell="B7" sqref="B7"/>
    </sheetView>
  </sheetViews>
  <sheetFormatPr defaultRowHeight="15" x14ac:dyDescent="0.25"/>
  <cols>
    <col min="1" max="1" width="6.5703125" customWidth="1"/>
    <col min="2" max="2" width="174.5703125" customWidth="1"/>
  </cols>
  <sheetData>
    <row r="1" spans="2:2" ht="26.25" customHeight="1" thickBot="1" x14ac:dyDescent="0.3"/>
    <row r="2" spans="2:2" ht="156.75" customHeight="1" thickBot="1" x14ac:dyDescent="0.3">
      <c r="B2" s="88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A5EC-7D79-43B1-BF9D-15CB6F8B2DDE}">
  <sheetPr codeName="Лист5">
    <tabColor theme="0" tint="-0.14999847407452621"/>
  </sheetPr>
  <dimension ref="A2:BC44"/>
  <sheetViews>
    <sheetView showGridLines="0" zoomScale="130" zoomScaleNormal="130" workbookViewId="0">
      <pane xSplit="2" ySplit="4" topLeftCell="C5" activePane="bottomRight" state="frozen"/>
      <selection activeCell="B13" sqref="B13"/>
      <selection pane="topRight" activeCell="B13" sqref="B13"/>
      <selection pane="bottomLeft" activeCell="B13" sqref="B13"/>
      <selection pane="bottomRight" activeCell="E14" sqref="E14"/>
    </sheetView>
  </sheetViews>
  <sheetFormatPr defaultColWidth="9.140625" defaultRowHeight="12.75" x14ac:dyDescent="0.2"/>
  <cols>
    <col min="1" max="1" width="9.140625" style="2"/>
    <col min="2" max="2" width="26.28515625" style="2" customWidth="1"/>
    <col min="3" max="3" width="13.5703125" style="2" bestFit="1" customWidth="1"/>
    <col min="4" max="54" width="15.5703125" style="2" customWidth="1"/>
    <col min="55" max="16384" width="9.140625" style="2"/>
  </cols>
  <sheetData>
    <row r="2" spans="1:55" x14ac:dyDescent="0.2">
      <c r="B2" s="89" t="str">
        <f>IF(Вводные!D43="Да","Сценарий аренды","Сценарий накопления")</f>
        <v>Сценарий накопления</v>
      </c>
      <c r="C2" s="90"/>
      <c r="D2" s="90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</row>
    <row r="4" spans="1:55" x14ac:dyDescent="0.2">
      <c r="A4" s="92">
        <v>12</v>
      </c>
      <c r="B4" s="93" t="s">
        <v>121</v>
      </c>
      <c r="C4" s="94"/>
      <c r="D4" s="93">
        <v>0</v>
      </c>
      <c r="E4" s="93">
        <v>1</v>
      </c>
      <c r="F4" s="93">
        <v>2</v>
      </c>
      <c r="G4" s="93">
        <v>3</v>
      </c>
      <c r="H4" s="93">
        <v>4</v>
      </c>
      <c r="I4" s="93">
        <v>5</v>
      </c>
      <c r="J4" s="93">
        <v>6</v>
      </c>
      <c r="K4" s="93">
        <v>7</v>
      </c>
      <c r="L4" s="93">
        <v>8</v>
      </c>
      <c r="M4" s="93">
        <v>9</v>
      </c>
      <c r="N4" s="93">
        <v>10</v>
      </c>
      <c r="O4" s="93">
        <v>11</v>
      </c>
      <c r="P4" s="93">
        <v>12</v>
      </c>
      <c r="Q4" s="93">
        <v>13</v>
      </c>
      <c r="R4" s="93">
        <v>14</v>
      </c>
      <c r="S4" s="93">
        <v>15</v>
      </c>
      <c r="T4" s="93">
        <v>16</v>
      </c>
      <c r="U4" s="93">
        <v>17</v>
      </c>
      <c r="V4" s="93">
        <v>18</v>
      </c>
      <c r="W4" s="93">
        <v>19</v>
      </c>
      <c r="X4" s="93">
        <v>20</v>
      </c>
      <c r="Y4" s="93">
        <v>21</v>
      </c>
      <c r="Z4" s="93">
        <v>22</v>
      </c>
      <c r="AA4" s="93">
        <v>23</v>
      </c>
      <c r="AB4" s="93">
        <v>24</v>
      </c>
      <c r="AC4" s="93">
        <v>25</v>
      </c>
      <c r="AD4" s="93">
        <v>26</v>
      </c>
      <c r="AE4" s="93">
        <v>27</v>
      </c>
      <c r="AF4" s="93">
        <v>28</v>
      </c>
      <c r="AG4" s="93">
        <v>29</v>
      </c>
      <c r="AH4" s="93">
        <v>30</v>
      </c>
      <c r="AI4" s="93">
        <v>31</v>
      </c>
      <c r="AJ4" s="93">
        <v>32</v>
      </c>
      <c r="AK4" s="93">
        <v>33</v>
      </c>
      <c r="AL4" s="93">
        <v>34</v>
      </c>
      <c r="AM4" s="93">
        <v>35</v>
      </c>
      <c r="AN4" s="93">
        <v>36</v>
      </c>
      <c r="AO4" s="93">
        <v>37</v>
      </c>
      <c r="AP4" s="93">
        <v>38</v>
      </c>
      <c r="AQ4" s="93">
        <v>39</v>
      </c>
      <c r="AR4" s="93">
        <v>40</v>
      </c>
      <c r="AS4" s="93">
        <v>41</v>
      </c>
      <c r="AT4" s="93">
        <v>42</v>
      </c>
      <c r="AU4" s="93">
        <v>43</v>
      </c>
      <c r="AV4" s="93">
        <v>44</v>
      </c>
      <c r="AW4" s="93">
        <v>45</v>
      </c>
      <c r="AX4" s="93">
        <v>46</v>
      </c>
      <c r="AY4" s="93">
        <v>47</v>
      </c>
      <c r="AZ4" s="93">
        <v>48</v>
      </c>
      <c r="BA4" s="93">
        <v>49</v>
      </c>
      <c r="BB4" s="93">
        <v>50</v>
      </c>
    </row>
    <row r="5" spans="1:55" x14ac:dyDescent="0.2">
      <c r="B5" s="2" t="str">
        <f>IF(B2="Сценарий аренды","Годовой арендный платёж в год","Уменьшение сбережений")</f>
        <v>Уменьшение сбережений</v>
      </c>
      <c r="C5" s="3"/>
      <c r="E5" s="95">
        <f>Вводные!D44*$A$4*-1</f>
        <v>0</v>
      </c>
      <c r="F5" s="95">
        <f>IF(F4&gt;Вводные!$D$7,0,IF(Вводные!$D$43="Да",IF(Вводные!$D$53="%",Аренда!E5*(1+Вводные!$D$54),Аренда!E5-Вводные!$D$55*$A$4),E5))</f>
        <v>0</v>
      </c>
      <c r="G5" s="95">
        <f>IF(G4&gt;Вводные!$D$7,0,IF(Вводные!$D$43="Да",IF(Вводные!$D$53="%",Аренда!F5*(1+Вводные!$D$54),Аренда!F5-Вводные!$D$55*$A$4),F5))</f>
        <v>0</v>
      </c>
      <c r="H5" s="95">
        <f>IF(H4&gt;Вводные!$D$7,0,IF(Вводные!$D$43="Да",IF(Вводные!$D$53="%",Аренда!G5*(1+Вводные!$D$54),Аренда!G5-Вводные!$D$55*$A$4),G5))</f>
        <v>0</v>
      </c>
      <c r="I5" s="95">
        <f>IF(I4&gt;Вводные!$D$7,0,IF(Вводные!$D$43="Да",IF(Вводные!$D$53="%",Аренда!H5*(1+Вводные!$D$54),Аренда!H5-Вводные!$D$55*$A$4),H5))</f>
        <v>0</v>
      </c>
      <c r="J5" s="95">
        <f>IF(J4&gt;Вводные!$D$7,0,IF(Вводные!$D$43="Да",IF(Вводные!$D$53="%",Аренда!I5*(1+Вводные!$D$54),Аренда!I5-Вводные!$D$55*$A$4),I5))</f>
        <v>0</v>
      </c>
      <c r="K5" s="95">
        <f>IF(K4&gt;Вводные!$D$7,0,IF(Вводные!$D$43="Да",IF(Вводные!$D$53="%",Аренда!J5*(1+Вводные!$D$54),Аренда!J5-Вводные!$D$55*$A$4),J5))</f>
        <v>0</v>
      </c>
      <c r="L5" s="95">
        <f>IF(L4&gt;Вводные!$D$7,0,IF(Вводные!$D$43="Да",IF(Вводные!$D$53="%",Аренда!K5*(1+Вводные!$D$54),Аренда!K5-Вводные!$D$55*$A$4),K5))</f>
        <v>0</v>
      </c>
      <c r="M5" s="95">
        <f>IF(M4&gt;Вводные!$D$7,0,IF(Вводные!$D$43="Да",IF(Вводные!$D$53="%",Аренда!L5*(1+Вводные!$D$54),Аренда!L5-Вводные!$D$55*$A$4),L5))</f>
        <v>0</v>
      </c>
      <c r="N5" s="95">
        <f>IF(N4&gt;Вводные!$D$7,0,IF(Вводные!$D$43="Да",IF(Вводные!$D$53="%",Аренда!M5*(1+Вводные!$D$54),Аренда!M5-Вводные!$D$55*$A$4),M5))</f>
        <v>0</v>
      </c>
      <c r="O5" s="95">
        <f>IF(O4&gt;Вводные!$D$7,0,IF(Вводные!$D$43="Да",IF(Вводные!$D$53="%",Аренда!N5*(1+Вводные!$D$54),Аренда!N5-Вводные!$D$55*$A$4),N5))</f>
        <v>0</v>
      </c>
      <c r="P5" s="95">
        <f>IF(P4&gt;Вводные!$D$7,0,IF(Вводные!$D$43="Да",IF(Вводные!$D$53="%",Аренда!O5*(1+Вводные!$D$54),Аренда!O5-Вводные!$D$55*$A$4),O5))</f>
        <v>0</v>
      </c>
      <c r="Q5" s="95">
        <f>IF(Q4&gt;Вводные!$D$7,0,IF(Вводные!$D$43="Да",IF(Вводные!$D$53="%",Аренда!P5*(1+Вводные!$D$54),Аренда!P5-Вводные!$D$55*$A$4),P5))</f>
        <v>0</v>
      </c>
      <c r="R5" s="95">
        <f>IF(R4&gt;Вводные!$D$7,0,IF(Вводные!$D$43="Да",IF(Вводные!$D$53="%",Аренда!Q5*(1+Вводные!$D$54),Аренда!Q5-Вводные!$D$55*$A$4),Q5))</f>
        <v>0</v>
      </c>
      <c r="S5" s="95">
        <f>IF(S4&gt;Вводные!$D$7,0,IF(Вводные!$D$43="Да",IF(Вводные!$D$53="%",Аренда!R5*(1+Вводные!$D$54),Аренда!R5-Вводные!$D$55*$A$4),R5))</f>
        <v>0</v>
      </c>
      <c r="T5" s="95">
        <f>IF(T4&gt;Вводные!$D$7,0,IF(Вводные!$D$43="Да",IF(Вводные!$D$53="%",Аренда!S5*(1+Вводные!$D$54),Аренда!S5-Вводные!$D$55*$A$4),S5))</f>
        <v>0</v>
      </c>
      <c r="U5" s="95">
        <f>IF(U4&gt;Вводные!$D$7,0,IF(Вводные!$D$43="Да",IF(Вводные!$D$53="%",Аренда!T5*(1+Вводные!$D$54),Аренда!T5-Вводные!$D$55*$A$4),T5))</f>
        <v>0</v>
      </c>
      <c r="V5" s="95">
        <f>IF(V4&gt;Вводные!$D$7,0,IF(Вводные!$D$43="Да",IF(Вводные!$D$53="%",Аренда!U5*(1+Вводные!$D$54),Аренда!U5-Вводные!$D$55*$A$4),U5))</f>
        <v>0</v>
      </c>
      <c r="W5" s="95">
        <f>IF(W4&gt;Вводные!$D$7,0,IF(Вводные!$D$43="Да",IF(Вводные!$D$53="%",Аренда!V5*(1+Вводные!$D$54),Аренда!V5-Вводные!$D$55*$A$4),V5))</f>
        <v>0</v>
      </c>
      <c r="X5" s="95">
        <f>IF(X4&gt;Вводные!$D$7,0,IF(Вводные!$D$43="Да",IF(Вводные!$D$53="%",Аренда!W5*(1+Вводные!$D$54),Аренда!W5-Вводные!$D$55*$A$4),W5))</f>
        <v>0</v>
      </c>
      <c r="Y5" s="95">
        <f>IF(Y4&gt;Вводные!$D$7,0,IF(Вводные!$D$43="Да",IF(Вводные!$D$53="%",Аренда!X5*(1+Вводные!$D$54),Аренда!X5-Вводные!$D$55*$A$4),X5))</f>
        <v>0</v>
      </c>
      <c r="Z5" s="95">
        <f>IF(Z4&gt;Вводные!$D$7,0,IF(Вводные!$D$43="Да",IF(Вводные!$D$53="%",Аренда!Y5*(1+Вводные!$D$54),Аренда!Y5-Вводные!$D$55*$A$4),Y5))</f>
        <v>0</v>
      </c>
      <c r="AA5" s="95">
        <f>IF(AA4&gt;Вводные!$D$7,0,IF(Вводные!$D$43="Да",IF(Вводные!$D$53="%",Аренда!Z5*(1+Вводные!$D$54),Аренда!Z5-Вводные!$D$55*$A$4),Z5))</f>
        <v>0</v>
      </c>
      <c r="AB5" s="95">
        <f>IF(AB4&gt;Вводные!$D$7,0,IF(Вводные!$D$43="Да",IF(Вводные!$D$53="%",Аренда!AA5*(1+Вводные!$D$54),Аренда!AA5-Вводные!$D$55*$A$4),AA5))</f>
        <v>0</v>
      </c>
      <c r="AC5" s="95">
        <f>IF(AC4&gt;Вводные!$D$7,0,IF(Вводные!$D$43="Да",IF(Вводные!$D$53="%",Аренда!AB5*(1+Вводные!$D$54),Аренда!AB5-Вводные!$D$55*$A$4),AB5))</f>
        <v>0</v>
      </c>
      <c r="AD5" s="95">
        <f>IF(AD4&gt;Вводные!$D$7,0,IF(Вводные!$D$43="Да",IF(Вводные!$D$53="%",Аренда!AC5*(1+Вводные!$D$54),Аренда!AC5-Вводные!$D$55*$A$4),AC5))</f>
        <v>0</v>
      </c>
      <c r="AE5" s="95">
        <f>IF(AE4&gt;Вводные!$D$7,0,IF(Вводные!$D$43="Да",IF(Вводные!$D$53="%",Аренда!AD5*(1+Вводные!$D$54),Аренда!AD5-Вводные!$D$55*$A$4),AD5))</f>
        <v>0</v>
      </c>
      <c r="AF5" s="95">
        <f>IF(AF4&gt;Вводные!$D$7,0,IF(Вводные!$D$43="Да",IF(Вводные!$D$53="%",Аренда!AE5*(1+Вводные!$D$54),Аренда!AE5-Вводные!$D$55*$A$4),AE5))</f>
        <v>0</v>
      </c>
      <c r="AG5" s="95">
        <f>IF(AG4&gt;Вводные!$D$7,0,IF(Вводные!$D$43="Да",IF(Вводные!$D$53="%",Аренда!AF5*(1+Вводные!$D$54),Аренда!AF5-Вводные!$D$55*$A$4),AF5))</f>
        <v>0</v>
      </c>
      <c r="AH5" s="95">
        <f>IF(AH4&gt;Вводные!$D$7,0,IF(Вводные!$D$43="Да",IF(Вводные!$D$53="%",Аренда!AG5*(1+Вводные!$D$54),Аренда!AG5-Вводные!$D$55*$A$4),AG5))</f>
        <v>0</v>
      </c>
      <c r="AI5" s="95">
        <f>IF(AI4&gt;Вводные!$D$7,0,IF(Вводные!$D$43="Да",IF(Вводные!$D$53="%",Аренда!AH5*(1+Вводные!$D$54),Аренда!AH5-Вводные!$D$55*$A$4),AH5))</f>
        <v>0</v>
      </c>
      <c r="AJ5" s="95">
        <f>IF(AJ4&gt;Вводные!$D$7,0,IF(Вводные!$D$43="Да",IF(Вводные!$D$53="%",Аренда!AI5*(1+Вводные!$D$54),Аренда!AI5-Вводные!$D$55*$A$4),AI5))</f>
        <v>0</v>
      </c>
      <c r="AK5" s="95">
        <f>IF(AK4&gt;Вводные!$D$7,0,IF(Вводные!$D$43="Да",IF(Вводные!$D$53="%",Аренда!AJ5*(1+Вводные!$D$54),Аренда!AJ5-Вводные!$D$55*$A$4),AJ5))</f>
        <v>0</v>
      </c>
      <c r="AL5" s="95">
        <f>IF(AL4&gt;Вводные!$D$7,0,IF(Вводные!$D$43="Да",IF(Вводные!$D$53="%",Аренда!AK5*(1+Вводные!$D$54),Аренда!AK5-Вводные!$D$55*$A$4),AK5))</f>
        <v>0</v>
      </c>
      <c r="AM5" s="95">
        <f>IF(AM4&gt;Вводные!$D$7,0,IF(Вводные!$D$43="Да",IF(Вводные!$D$53="%",Аренда!AL5*(1+Вводные!$D$54),Аренда!AL5-Вводные!$D$55*$A$4),AL5))</f>
        <v>0</v>
      </c>
      <c r="AN5" s="95">
        <f>IF(AN4&gt;Вводные!$D$7,0,IF(Вводные!$D$43="Да",IF(Вводные!$D$53="%",Аренда!AM5*(1+Вводные!$D$54),Аренда!AM5-Вводные!$D$55*$A$4),AM5))</f>
        <v>0</v>
      </c>
      <c r="AO5" s="95">
        <f>IF(AO4&gt;Вводные!$D$7,0,IF(Вводные!$D$43="Да",IF(Вводные!$D$53="%",Аренда!AN5*(1+Вводные!$D$54),Аренда!AN5-Вводные!$D$55*$A$4),AN5))</f>
        <v>0</v>
      </c>
      <c r="AP5" s="95">
        <f>IF(AP4&gt;Вводные!$D$7,0,IF(Вводные!$D$43="Да",IF(Вводные!$D$53="%",Аренда!AO5*(1+Вводные!$D$54),Аренда!AO5-Вводные!$D$55*$A$4),AO5))</f>
        <v>0</v>
      </c>
      <c r="AQ5" s="95">
        <f>IF(AQ4&gt;Вводные!$D$7,0,IF(Вводные!$D$43="Да",IF(Вводные!$D$53="%",Аренда!AP5*(1+Вводные!$D$54),Аренда!AP5-Вводные!$D$55*$A$4),AP5))</f>
        <v>0</v>
      </c>
      <c r="AR5" s="95">
        <f>IF(AR4&gt;Вводные!$D$7,0,IF(Вводные!$D$43="Да",IF(Вводные!$D$53="%",Аренда!AQ5*(1+Вводные!$D$54),Аренда!AQ5-Вводные!$D$55*$A$4),AQ5))</f>
        <v>0</v>
      </c>
      <c r="AS5" s="95">
        <f>IF(AS4&gt;Вводные!$D$7,0,IF(Вводные!$D$43="Да",IF(Вводные!$D$53="%",Аренда!AR5*(1+Вводные!$D$54),Аренда!AR5-Вводные!$D$55*$A$4),AR5))</f>
        <v>0</v>
      </c>
      <c r="AT5" s="95">
        <f>IF(AT4&gt;Вводные!$D$7,0,IF(Вводные!$D$43="Да",IF(Вводные!$D$53="%",Аренда!AS5*(1+Вводные!$D$54),Аренда!AS5-Вводные!$D$55*$A$4),AS5))</f>
        <v>0</v>
      </c>
      <c r="AU5" s="95">
        <f>IF(AU4&gt;Вводные!$D$7,0,IF(Вводные!$D$43="Да",IF(Вводные!$D$53="%",Аренда!AT5*(1+Вводные!$D$54),Аренда!AT5-Вводные!$D$55*$A$4),AT5))</f>
        <v>0</v>
      </c>
      <c r="AV5" s="95">
        <f>IF(AV4&gt;Вводные!$D$7,0,IF(Вводные!$D$43="Да",IF(Вводные!$D$53="%",Аренда!AU5*(1+Вводные!$D$54),Аренда!AU5-Вводные!$D$55*$A$4),AU5))</f>
        <v>0</v>
      </c>
      <c r="AW5" s="95">
        <f>IF(AW4&gt;Вводные!$D$7,0,IF(Вводные!$D$43="Да",IF(Вводные!$D$53="%",Аренда!AV5*(1+Вводные!$D$54),Аренда!AV5-Вводные!$D$55*$A$4),AV5))</f>
        <v>0</v>
      </c>
      <c r="AX5" s="95">
        <f>IF(AX4&gt;Вводные!$D$7,0,IF(Вводные!$D$43="Да",IF(Вводные!$D$53="%",Аренда!AW5*(1+Вводные!$D$54),Аренда!AW5-Вводные!$D$55*$A$4),AW5))</f>
        <v>0</v>
      </c>
      <c r="AY5" s="95">
        <f>IF(AY4&gt;Вводные!$D$7,0,IF(Вводные!$D$43="Да",IF(Вводные!$D$53="%",Аренда!AX5*(1+Вводные!$D$54),Аренда!AX5-Вводные!$D$55*$A$4),AX5))</f>
        <v>0</v>
      </c>
      <c r="AZ5" s="95">
        <f>IF(AZ4&gt;Вводные!$D$7,0,IF(Вводные!$D$43="Да",IF(Вводные!$D$53="%",Аренда!AY5*(1+Вводные!$D$54),Аренда!AY5-Вводные!$D$55*$A$4),AY5))</f>
        <v>0</v>
      </c>
      <c r="BA5" s="95">
        <f>IF(BA4&gt;Вводные!$D$7,0,IF(Вводные!$D$43="Да",IF(Вводные!$D$53="%",Аренда!AZ5*(1+Вводные!$D$54),Аренда!AZ5-Вводные!$D$55*$A$4),AZ5))</f>
        <v>0</v>
      </c>
      <c r="BB5" s="95">
        <f>IF(BB4&gt;Вводные!$D$7,0,IF(Вводные!$D$43="Да",IF(Вводные!$D$53="%",Аренда!BA5*(1+Вводные!$D$54),Аренда!BA5-Вводные!$D$55*$A$4),BA5))</f>
        <v>0</v>
      </c>
      <c r="BC5" s="95"/>
    </row>
    <row r="6" spans="1:55" x14ac:dyDescent="0.2">
      <c r="B6" s="2" t="s">
        <v>122</v>
      </c>
      <c r="C6" s="3"/>
      <c r="E6" s="13">
        <f>Вводные!D46*A4*-1</f>
        <v>-91200</v>
      </c>
      <c r="F6" s="13">
        <f>IF(F4&gt;Вводные!$D$7,0,E6*(1+Вводные!$D$59))</f>
        <v>-98496</v>
      </c>
      <c r="G6" s="13">
        <f>IF(G4&gt;Вводные!$D$7,0,F6*(1+Вводные!$D$59))</f>
        <v>-106375.68000000001</v>
      </c>
      <c r="H6" s="13">
        <f>IF(H4&gt;Вводные!$D$7,0,G6*(1+Вводные!$D$59))</f>
        <v>-114885.73440000002</v>
      </c>
      <c r="I6" s="13">
        <f>IF(I4&gt;Вводные!$D$7,0,H6*(1+Вводные!$D$59))</f>
        <v>-124076.59315200003</v>
      </c>
      <c r="J6" s="13">
        <f>IF(J4&gt;Вводные!$D$7,0,I6*(1+Вводные!$D$59))</f>
        <v>-134002.72060416004</v>
      </c>
      <c r="K6" s="13">
        <f>IF(K4&gt;Вводные!$D$7,0,J6*(1+Вводные!$D$59))</f>
        <v>-144722.93825249287</v>
      </c>
      <c r="L6" s="13">
        <f>IF(L4&gt;Вводные!$D$7,0,K6*(1+Вводные!$D$59))</f>
        <v>-156300.7733126923</v>
      </c>
      <c r="M6" s="13">
        <f>IF(M4&gt;Вводные!$D$7,0,L6*(1+Вводные!$D$59))</f>
        <v>-168804.83517770769</v>
      </c>
      <c r="N6" s="13">
        <f>IF(N4&gt;Вводные!$D$7,0,M6*(1+Вводные!$D$59))</f>
        <v>-182309.22199192431</v>
      </c>
      <c r="O6" s="13">
        <f>IF(O4&gt;Вводные!$D$7,0,N6*(1+Вводные!$D$59))</f>
        <v>-196893.95975127828</v>
      </c>
      <c r="P6" s="13">
        <f>IF(P4&gt;Вводные!$D$7,0,O6*(1+Вводные!$D$59))</f>
        <v>-212645.47653138055</v>
      </c>
      <c r="Q6" s="13">
        <f>IF(Q4&gt;Вводные!$D$7,0,P6*(1+Вводные!$D$59))</f>
        <v>-229657.11465389101</v>
      </c>
      <c r="R6" s="13">
        <f>IF(R4&gt;Вводные!$D$7,0,Q6*(1+Вводные!$D$59))</f>
        <v>-248029.68382620229</v>
      </c>
      <c r="S6" s="13">
        <f>IF(S4&gt;Вводные!$D$7,0,R6*(1+Вводные!$D$59))</f>
        <v>-267872.05853229848</v>
      </c>
      <c r="T6" s="13">
        <f>IF(T4&gt;Вводные!$D$7,0,S6*(1+Вводные!$D$59))</f>
        <v>0</v>
      </c>
      <c r="U6" s="13">
        <f>IF(U4&gt;Вводные!$D$7,0,T6*(1+Вводные!$D$59))</f>
        <v>0</v>
      </c>
      <c r="V6" s="13">
        <f>IF(V4&gt;Вводные!$D$7,0,U6*(1+Вводные!$D$59))</f>
        <v>0</v>
      </c>
      <c r="W6" s="13">
        <f>IF(W4&gt;Вводные!$D$7,0,V6*(1+Вводные!$D$59))</f>
        <v>0</v>
      </c>
      <c r="X6" s="13">
        <f>IF(X4&gt;Вводные!$D$7,0,W6*(1+Вводные!$D$59))</f>
        <v>0</v>
      </c>
      <c r="Y6" s="13">
        <f>IF(Y4&gt;Вводные!$D$7,0,X6*(1+Вводные!$D$59))</f>
        <v>0</v>
      </c>
      <c r="Z6" s="13">
        <f>IF(Z4&gt;Вводные!$D$7,0,Y6*(1+Вводные!$D$59))</f>
        <v>0</v>
      </c>
      <c r="AA6" s="13">
        <f>IF(AA4&gt;Вводные!$D$7,0,Z6*(1+Вводные!$D$59))</f>
        <v>0</v>
      </c>
      <c r="AB6" s="13">
        <f>IF(AB4&gt;Вводные!$D$7,0,AA6*(1+Вводные!$D$59))</f>
        <v>0</v>
      </c>
      <c r="AC6" s="13">
        <f>IF(AC4&gt;Вводные!$D$7,0,AB6*(1+Вводные!$D$59))</f>
        <v>0</v>
      </c>
      <c r="AD6" s="13">
        <f>IF(AD4&gt;Вводные!$D$7,0,AC6*(1+Вводные!$D$59))</f>
        <v>0</v>
      </c>
      <c r="AE6" s="13">
        <f>IF(AE4&gt;Вводные!$D$7,0,AD6*(1+Вводные!$D$59))</f>
        <v>0</v>
      </c>
      <c r="AF6" s="13">
        <f>IF(AF4&gt;Вводные!$D$7,0,AE6*(1+Вводные!$D$59))</f>
        <v>0</v>
      </c>
      <c r="AG6" s="13">
        <f>IF(AG4&gt;Вводные!$D$7,0,AF6*(1+Вводные!$D$59))</f>
        <v>0</v>
      </c>
      <c r="AH6" s="13">
        <f>IF(AH4&gt;Вводные!$D$7,0,AG6*(1+Вводные!$D$59))</f>
        <v>0</v>
      </c>
      <c r="AI6" s="13">
        <f>IF(AI4&gt;Вводные!$D$7,0,AH6*(1+Вводные!$D$59))</f>
        <v>0</v>
      </c>
      <c r="AJ6" s="13">
        <f>IF(AJ4&gt;Вводные!$D$7,0,AI6*(1+Вводные!$D$59))</f>
        <v>0</v>
      </c>
      <c r="AK6" s="13">
        <f>IF(AK4&gt;Вводные!$D$7,0,AJ6*(1+Вводные!$D$59))</f>
        <v>0</v>
      </c>
      <c r="AL6" s="13">
        <f>IF(AL4&gt;Вводные!$D$7,0,AK6*(1+Вводные!$D$59))</f>
        <v>0</v>
      </c>
      <c r="AM6" s="13">
        <f>IF(AM4&gt;Вводные!$D$7,0,AL6*(1+Вводные!$D$59))</f>
        <v>0</v>
      </c>
      <c r="AN6" s="13">
        <f>IF(AN4&gt;Вводные!$D$7,0,AM6*(1+Вводные!$D$59))</f>
        <v>0</v>
      </c>
      <c r="AO6" s="13">
        <f>IF(AO4&gt;Вводные!$D$7,0,AN6*(1+Вводные!$D$59))</f>
        <v>0</v>
      </c>
      <c r="AP6" s="13">
        <f>IF(AP4&gt;Вводные!$D$7,0,AO6*(1+Вводные!$D$59))</f>
        <v>0</v>
      </c>
      <c r="AQ6" s="13">
        <f>IF(AQ4&gt;Вводные!$D$7,0,AP6*(1+Вводные!$D$59))</f>
        <v>0</v>
      </c>
      <c r="AR6" s="13">
        <f>IF(AR4&gt;Вводные!$D$7,0,AQ6*(1+Вводные!$D$59))</f>
        <v>0</v>
      </c>
      <c r="AS6" s="13">
        <f>IF(AS4&gt;Вводные!$D$7,0,AR6*(1+Вводные!$D$59))</f>
        <v>0</v>
      </c>
      <c r="AT6" s="13">
        <f>IF(AT4&gt;Вводные!$D$7,0,AS6*(1+Вводные!$D$59))</f>
        <v>0</v>
      </c>
      <c r="AU6" s="13">
        <f>IF(AU4&gt;Вводные!$D$7,0,AT6*(1+Вводные!$D$59))</f>
        <v>0</v>
      </c>
      <c r="AV6" s="13">
        <f>IF(AV4&gt;Вводные!$D$7,0,AU6*(1+Вводные!$D$59))</f>
        <v>0</v>
      </c>
      <c r="AW6" s="13">
        <f>IF(AW4&gt;Вводные!$D$7,0,AV6*(1+Вводные!$D$59))</f>
        <v>0</v>
      </c>
      <c r="AX6" s="13">
        <f>IF(AX4&gt;Вводные!$D$7,0,AW6*(1+Вводные!$D$59))</f>
        <v>0</v>
      </c>
      <c r="AY6" s="13">
        <f>IF(AY4&gt;Вводные!$D$7,0,AX6*(1+Вводные!$D$59))</f>
        <v>0</v>
      </c>
      <c r="AZ6" s="13">
        <f>IF(AZ4&gt;Вводные!$D$7,0,AY6*(1+Вводные!$D$59))</f>
        <v>0</v>
      </c>
      <c r="BA6" s="13">
        <f>IF(BA4&gt;Вводные!$D$7,0,AZ6*(1+Вводные!$D$59))</f>
        <v>0</v>
      </c>
      <c r="BB6" s="13">
        <f>IF(BB4&gt;Вводные!$D$7,0,BA6*(1+Вводные!$D$59))</f>
        <v>0</v>
      </c>
    </row>
    <row r="7" spans="1:55" x14ac:dyDescent="0.2">
      <c r="B7" s="2" t="s">
        <v>64</v>
      </c>
      <c r="C7" s="3"/>
      <c r="D7" s="13">
        <f>IF(Вводные!D43="Да",-Вводные!D51,0)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</row>
    <row r="8" spans="1:55" x14ac:dyDescent="0.2">
      <c r="B8" s="2" t="s">
        <v>123</v>
      </c>
      <c r="C8" s="3"/>
      <c r="D8" s="13">
        <f>IF(Вводные!D43="Да",IF(Вводные!D49="Да",-Вводные!D50*Вводные!D44,0),0)</f>
        <v>0</v>
      </c>
      <c r="E8" s="13">
        <f>IF(E4&gt;Вводные!$D$7,0,IF(E4=Вводные!$D$7,Вводные!$D$44*Вводные!$D$50,0))</f>
        <v>0</v>
      </c>
      <c r="F8" s="13">
        <f>IF(F4&gt;Вводные!$D$7,0,IF(F4=Вводные!$D$7,Вводные!$D$44*Вводные!$D$50,0))</f>
        <v>0</v>
      </c>
      <c r="G8" s="13">
        <f>IF(G4&gt;Вводные!$D$7,0,IF(G4=Вводные!$D$7,Вводные!$D$44*Вводные!$D$50,0))</f>
        <v>0</v>
      </c>
      <c r="H8" s="13">
        <f>IF(H4&gt;Вводные!$D$7,0,IF(H4=Вводные!$D$7,Вводные!$D$44*Вводные!$D$50,0))</f>
        <v>0</v>
      </c>
      <c r="I8" s="13">
        <f>IF(I4&gt;Вводные!$D$7,0,IF(I4=Вводные!$D$7,Вводные!$D$44*Вводные!$D$50,0))</f>
        <v>0</v>
      </c>
      <c r="J8" s="13">
        <f>IF(J4&gt;Вводные!$D$7,0,IF(J4=Вводные!$D$7,Вводные!$D$44*Вводные!$D$50,0))</f>
        <v>0</v>
      </c>
      <c r="K8" s="13">
        <f>IF(K4&gt;Вводные!$D$7,0,IF(K4=Вводные!$D$7,Вводные!$D$44*Вводные!$D$50,0))</f>
        <v>0</v>
      </c>
      <c r="L8" s="13">
        <f>IF(L4&gt;Вводные!$D$7,0,IF(L4=Вводные!$D$7,Вводные!$D$44*Вводные!$D$50,0))</f>
        <v>0</v>
      </c>
      <c r="M8" s="13">
        <f>IF(M4&gt;Вводные!$D$7,0,IF(M4=Вводные!$D$7,Вводные!$D$44*Вводные!$D$50,0))</f>
        <v>0</v>
      </c>
      <c r="N8" s="13">
        <f>IF(N4&gt;Вводные!$D$7,0,IF(N4=Вводные!$D$7,Вводные!$D$44*Вводные!$D$50,0))</f>
        <v>0</v>
      </c>
      <c r="O8" s="13">
        <f>IF(O4&gt;Вводные!$D$7,0,IF(O4=Вводные!$D$7,Вводные!$D$44*Вводные!$D$50,0))</f>
        <v>0</v>
      </c>
      <c r="P8" s="13">
        <f>IF(P4&gt;Вводные!$D$7,0,IF(P4=Вводные!$D$7,Вводные!$D$44*Вводные!$D$50,0))</f>
        <v>0</v>
      </c>
      <c r="Q8" s="13">
        <f>IF(Q4&gt;Вводные!$D$7,0,IF(Q4=Вводные!$D$7,Вводные!$D$44*Вводные!$D$50,0))</f>
        <v>0</v>
      </c>
      <c r="R8" s="13">
        <f>IF(R4&gt;Вводные!$D$7,0,IF(R4=Вводные!$D$7,Вводные!$D$44*Вводные!$D$50,0))</f>
        <v>0</v>
      </c>
      <c r="S8" s="13">
        <f>IF(S4&gt;Вводные!$D$7,0,IF(S4=Вводные!$D$7,Вводные!$D$44*Вводные!$D$50,0))</f>
        <v>0</v>
      </c>
      <c r="T8" s="13">
        <f>IF(T4&gt;Вводные!$D$7,0,IF(T4=Вводные!$D$7,Вводные!$D$44*Вводные!$D$50,0))</f>
        <v>0</v>
      </c>
      <c r="U8" s="13">
        <f>IF(U4&gt;Вводные!$D$7,0,IF(U4=Вводные!$D$7,Вводные!$D$44*Вводные!$D$50,0))</f>
        <v>0</v>
      </c>
      <c r="V8" s="13">
        <f>IF(V4&gt;Вводные!$D$7,0,IF(V4=Вводные!$D$7,Вводные!$D$44*Вводные!$D$50,0))</f>
        <v>0</v>
      </c>
      <c r="W8" s="13">
        <f>IF(W4&gt;Вводные!$D$7,0,IF(W4=Вводные!$D$7,Вводные!$D$44*Вводные!$D$50,0))</f>
        <v>0</v>
      </c>
      <c r="X8" s="13">
        <f>IF(X4&gt;Вводные!$D$7,0,IF(X4=Вводные!$D$7,Вводные!$D$44*Вводные!$D$50,0))</f>
        <v>0</v>
      </c>
      <c r="Y8" s="13">
        <f>IF(Y4&gt;Вводные!$D$7,0,IF(Y4=Вводные!$D$7,Вводные!$D$44*Вводные!$D$50,0))</f>
        <v>0</v>
      </c>
      <c r="Z8" s="13">
        <f>IF(Z4&gt;Вводные!$D$7,0,IF(Z4=Вводные!$D$7,Вводные!$D$44*Вводные!$D$50,0))</f>
        <v>0</v>
      </c>
      <c r="AA8" s="13">
        <f>IF(AA4&gt;Вводные!$D$7,0,IF(AA4=Вводные!$D$7,Вводные!$D$44*Вводные!$D$50,0))</f>
        <v>0</v>
      </c>
      <c r="AB8" s="13">
        <f>IF(AB4&gt;Вводные!$D$7,0,IF(AB4=Вводные!$D$7,Вводные!$D$44*Вводные!$D$50,0))</f>
        <v>0</v>
      </c>
      <c r="AC8" s="13">
        <f>IF(AC4&gt;Вводные!$D$7,0,IF(AC4=Вводные!$D$7,Вводные!$D$44*Вводные!$D$50,0))</f>
        <v>0</v>
      </c>
      <c r="AD8" s="13">
        <f>IF(AD4&gt;Вводные!$D$7,0,IF(AD4=Вводные!$D$7,Вводные!$D$44*Вводные!$D$50,0))</f>
        <v>0</v>
      </c>
      <c r="AE8" s="13">
        <f>IF(AE4&gt;Вводные!$D$7,0,IF(AE4=Вводные!$D$7,Вводные!$D$44*Вводные!$D$50,0))</f>
        <v>0</v>
      </c>
      <c r="AF8" s="13">
        <f>IF(AF4&gt;Вводные!$D$7,0,IF(AF4=Вводные!$D$7,Вводные!$D$44*Вводные!$D$50,0))</f>
        <v>0</v>
      </c>
      <c r="AG8" s="13">
        <f>IF(AG4&gt;Вводные!$D$7,0,IF(AG4=Вводные!$D$7,Вводные!$D$44*Вводные!$D$50,0))</f>
        <v>0</v>
      </c>
      <c r="AH8" s="13">
        <f>IF(AH4&gt;Вводные!$D$7,0,IF(AH4=Вводные!$D$7,Вводные!$D$44*Вводные!$D$50,0))</f>
        <v>0</v>
      </c>
      <c r="AI8" s="13">
        <f>IF(AI4&gt;Вводные!$D$7,0,IF(AI4=Вводные!$D$7,Вводные!$D$44*Вводные!$D$50,0))</f>
        <v>0</v>
      </c>
      <c r="AJ8" s="13">
        <f>IF(AJ4&gt;Вводные!$D$7,0,IF(AJ4=Вводные!$D$7,Вводные!$D$44*Вводные!$D$50,0))</f>
        <v>0</v>
      </c>
      <c r="AK8" s="13">
        <f>IF(AK4&gt;Вводные!$D$7,0,IF(AK4=Вводные!$D$7,Вводные!$D$44*Вводные!$D$50,0))</f>
        <v>0</v>
      </c>
      <c r="AL8" s="13">
        <f>IF(AL4&gt;Вводные!$D$7,0,IF(AL4=Вводные!$D$7,Вводные!$D$44*Вводные!$D$50,0))</f>
        <v>0</v>
      </c>
      <c r="AM8" s="13">
        <f>IF(AM4&gt;Вводные!$D$7,0,IF(AM4=Вводные!$D$7,Вводные!$D$44*Вводные!$D$50,0))</f>
        <v>0</v>
      </c>
      <c r="AN8" s="13">
        <f>IF(AN4&gt;Вводные!$D$7,0,IF(AN4=Вводные!$D$7,Вводные!$D$44*Вводные!$D$50,0))</f>
        <v>0</v>
      </c>
      <c r="AO8" s="13">
        <f>IF(AO4&gt;Вводные!$D$7,0,IF(AO4=Вводные!$D$7,Вводные!$D$44*Вводные!$D$50,0))</f>
        <v>0</v>
      </c>
      <c r="AP8" s="13">
        <f>IF(AP4&gt;Вводные!$D$7,0,IF(AP4=Вводные!$D$7,Вводные!$D$44*Вводные!$D$50,0))</f>
        <v>0</v>
      </c>
      <c r="AQ8" s="13">
        <f>IF(AQ4&gt;Вводные!$D$7,0,IF(AQ4=Вводные!$D$7,Вводные!$D$44*Вводные!$D$50,0))</f>
        <v>0</v>
      </c>
      <c r="AR8" s="13">
        <f>IF(AR4&gt;Вводные!$D$7,0,IF(AR4=Вводные!$D$7,Вводные!$D$44*Вводные!$D$50,0))</f>
        <v>0</v>
      </c>
      <c r="AS8" s="13">
        <f>IF(AS4&gt;Вводные!$D$7,0,IF(AS4=Вводные!$D$7,Вводные!$D$44*Вводные!$D$50,0))</f>
        <v>0</v>
      </c>
      <c r="AT8" s="13">
        <f>IF(AT4&gt;Вводные!$D$7,0,IF(AT4=Вводные!$D$7,Вводные!$D$44*Вводные!$D$50,0))</f>
        <v>0</v>
      </c>
      <c r="AU8" s="13">
        <f>IF(AU4&gt;Вводные!$D$7,0,IF(AU4=Вводные!$D$7,Вводные!$D$44*Вводные!$D$50,0))</f>
        <v>0</v>
      </c>
      <c r="AV8" s="13">
        <f>IF(AV4&gt;Вводные!$D$7,0,IF(AV4=Вводные!$D$7,Вводные!$D$44*Вводные!$D$50,0))</f>
        <v>0</v>
      </c>
      <c r="AW8" s="13">
        <f>IF(AW4&gt;Вводные!$D$7,0,IF(AW4=Вводные!$D$7,Вводные!$D$44*Вводные!$D$50,0))</f>
        <v>0</v>
      </c>
      <c r="AX8" s="13">
        <f>IF(AX4&gt;Вводные!$D$7,0,IF(AX4=Вводные!$D$7,Вводные!$D$44*Вводные!$D$50,0))</f>
        <v>0</v>
      </c>
      <c r="AY8" s="13">
        <f>IF(AY4&gt;Вводные!$D$7,0,IF(AY4=Вводные!$D$7,Вводные!$D$44*Вводные!$D$50,0))</f>
        <v>0</v>
      </c>
      <c r="AZ8" s="13">
        <f>IF(AZ4&gt;Вводные!$D$7,0,IF(AZ4=Вводные!$D$7,Вводные!$D$44*Вводные!$D$50,0))</f>
        <v>0</v>
      </c>
      <c r="BA8" s="13">
        <f>IF(BA4&gt;Вводные!$D$7,0,IF(BA4=Вводные!$D$7,Вводные!$D$44*Вводные!$D$50,0))</f>
        <v>0</v>
      </c>
      <c r="BB8" s="13">
        <f>IF(BB4&gt;Вводные!$D$7,0,IF(BB4=Вводные!$D$7,Вводные!$D$44*Вводные!$D$50,0))</f>
        <v>0</v>
      </c>
    </row>
    <row r="9" spans="1:55" s="96" customFormat="1" x14ac:dyDescent="0.2">
      <c r="B9" s="62" t="str">
        <f>IF(Вводные!D43="Да","Итоговые расходы по аренде в год","Итоговое уменьшение сбережений в год")</f>
        <v>Итоговое уменьшение сбережений в год</v>
      </c>
      <c r="C9" s="97"/>
      <c r="D9" s="98">
        <f>D8+D7</f>
        <v>0</v>
      </c>
      <c r="E9" s="98">
        <f>IF(E4&gt;Вводные!$D$7,0,IF($B$2="Сценарий аренды",E6+E5+E8,E5))</f>
        <v>0</v>
      </c>
      <c r="F9" s="98">
        <f>IF(F4&gt;Вводные!$D$7,0,IF($B$2="Сценарий аренды",F6+F5+F8,F5))</f>
        <v>0</v>
      </c>
      <c r="G9" s="98">
        <f>IF(G4&gt;Вводные!$D$7,0,IF($B$2="Сценарий аренды",G6+G5+G8,G5))</f>
        <v>0</v>
      </c>
      <c r="H9" s="98">
        <f>IF(H4&gt;Вводные!$D$7,0,IF($B$2="Сценарий аренды",H6+H5+H8,H5))</f>
        <v>0</v>
      </c>
      <c r="I9" s="98">
        <f>IF(I4&gt;Вводные!$D$7,0,IF($B$2="Сценарий аренды",I6+I5+I8,I5))</f>
        <v>0</v>
      </c>
      <c r="J9" s="98">
        <f>IF(J4&gt;Вводные!$D$7,0,IF($B$2="Сценарий аренды",J6+J5+J8,J5))</f>
        <v>0</v>
      </c>
      <c r="K9" s="98">
        <f>IF(K4&gt;Вводные!$D$7,0,IF($B$2="Сценарий аренды",K6+K5+K8,K5))</f>
        <v>0</v>
      </c>
      <c r="L9" s="98">
        <f>IF(L4&gt;Вводные!$D$7,0,IF($B$2="Сценарий аренды",L6+L5+L8,L5))</f>
        <v>0</v>
      </c>
      <c r="M9" s="98">
        <f>IF(M4&gt;Вводные!$D$7,0,IF($B$2="Сценарий аренды",M6+M5+M8,M5))</f>
        <v>0</v>
      </c>
      <c r="N9" s="98">
        <f>IF(N4&gt;Вводные!$D$7,0,IF($B$2="Сценарий аренды",N6+N5+N8,N5))</f>
        <v>0</v>
      </c>
      <c r="O9" s="98">
        <f>IF(O4&gt;Вводные!$D$7,0,IF($B$2="Сценарий аренды",O6+O5+O8,O5))</f>
        <v>0</v>
      </c>
      <c r="P9" s="98">
        <f>IF(P4&gt;Вводные!$D$7,0,IF($B$2="Сценарий аренды",P6+P5+P8,P5))</f>
        <v>0</v>
      </c>
      <c r="Q9" s="98">
        <f>IF(Q4&gt;Вводные!$D$7,0,IF($B$2="Сценарий аренды",Q6+Q5+Q8,Q5))</f>
        <v>0</v>
      </c>
      <c r="R9" s="98">
        <f>IF(R4&gt;Вводные!$D$7,0,IF($B$2="Сценарий аренды",R6+R5+R8,R5))</f>
        <v>0</v>
      </c>
      <c r="S9" s="98">
        <f>IF(S4&gt;Вводные!$D$7,0,IF($B$2="Сценарий аренды",S6+S5+S8,S5))</f>
        <v>0</v>
      </c>
      <c r="T9" s="98">
        <f>IF(T4&gt;Вводные!$D$7,0,IF($B$2="Сценарий аренды",T6+T5+T8,T5))</f>
        <v>0</v>
      </c>
      <c r="U9" s="98">
        <f>IF(U4&gt;Вводные!$D$7,0,IF($B$2="Сценарий аренды",U6+U5+U8,U5))</f>
        <v>0</v>
      </c>
      <c r="V9" s="98">
        <f>IF(V4&gt;Вводные!$D$7,0,IF($B$2="Сценарий аренды",V6+V5+V8,V5))</f>
        <v>0</v>
      </c>
      <c r="W9" s="98">
        <f>IF(W4&gt;Вводные!$D$7,0,IF($B$2="Сценарий аренды",W6+W5+W8,W5))</f>
        <v>0</v>
      </c>
      <c r="X9" s="98">
        <f>IF(X4&gt;Вводные!$D$7,0,IF($B$2="Сценарий аренды",X6+X5+X8,X5))</f>
        <v>0</v>
      </c>
      <c r="Y9" s="98">
        <f>IF(Y4&gt;Вводные!$D$7,0,IF($B$2="Сценарий аренды",Y6+Y5+Y8,Y5))</f>
        <v>0</v>
      </c>
      <c r="Z9" s="98">
        <f>IF(Z4&gt;Вводные!$D$7,0,IF($B$2="Сценарий аренды",Z6+Z5+Z8,Z5))</f>
        <v>0</v>
      </c>
      <c r="AA9" s="98">
        <f>IF(AA4&gt;Вводные!$D$7,0,IF($B$2="Сценарий аренды",AA6+AA5+AA8,AA5))</f>
        <v>0</v>
      </c>
      <c r="AB9" s="98">
        <f>IF(AB4&gt;Вводные!$D$7,0,IF($B$2="Сценарий аренды",AB6+AB5+AB8,AB5))</f>
        <v>0</v>
      </c>
      <c r="AC9" s="98">
        <f>IF(AC4&gt;Вводные!$D$7,0,IF($B$2="Сценарий аренды",AC6+AC5+AC8,AC5))</f>
        <v>0</v>
      </c>
      <c r="AD9" s="98">
        <f>IF(AD4&gt;Вводные!$D$7,0,IF($B$2="Сценарий аренды",AD6+AD5+AD8,AD5))</f>
        <v>0</v>
      </c>
      <c r="AE9" s="98">
        <f>IF(AE4&gt;Вводные!$D$7,0,IF($B$2="Сценарий аренды",AE6+AE5+AE8,AE5))</f>
        <v>0</v>
      </c>
      <c r="AF9" s="98">
        <f>IF(AF4&gt;Вводные!$D$7,0,IF($B$2="Сценарий аренды",AF6+AF5+AF8,AF5))</f>
        <v>0</v>
      </c>
      <c r="AG9" s="98">
        <f>IF(AG4&gt;Вводные!$D$7,0,IF($B$2="Сценарий аренды",AG6+AG5+AG8,AG5))</f>
        <v>0</v>
      </c>
      <c r="AH9" s="98">
        <f>IF(AH4&gt;Вводные!$D$7,0,IF($B$2="Сценарий аренды",AH6+AH5+AH8,AH5))</f>
        <v>0</v>
      </c>
      <c r="AI9" s="98">
        <f>IF(AI4&gt;Вводные!$D$7,0,IF($B$2="Сценарий аренды",AI6+AI5+AI8,AI5))</f>
        <v>0</v>
      </c>
      <c r="AJ9" s="98">
        <f>IF(AJ4&gt;Вводные!$D$7,0,IF($B$2="Сценарий аренды",AJ6+AJ5+AJ8,AJ5))</f>
        <v>0</v>
      </c>
      <c r="AK9" s="98">
        <f>IF(AK4&gt;Вводные!$D$7,0,IF($B$2="Сценарий аренды",AK6+AK5+AK8,AK5))</f>
        <v>0</v>
      </c>
      <c r="AL9" s="98">
        <f>IF(AL4&gt;Вводные!$D$7,0,IF($B$2="Сценарий аренды",AL6+AL5+AL8,AL5))</f>
        <v>0</v>
      </c>
      <c r="AM9" s="98">
        <f>IF(AM4&gt;Вводные!$D$7,0,IF($B$2="Сценарий аренды",AM6+AM5+AM8,AM5))</f>
        <v>0</v>
      </c>
      <c r="AN9" s="98">
        <f>IF(AN4&gt;Вводные!$D$7,0,IF($B$2="Сценарий аренды",AN6+AN5+AN8,AN5))</f>
        <v>0</v>
      </c>
      <c r="AO9" s="98">
        <f>IF(AO4&gt;Вводные!$D$7,0,IF($B$2="Сценарий аренды",AO6+AO5+AO8,AO5))</f>
        <v>0</v>
      </c>
      <c r="AP9" s="98">
        <f>IF(AP4&gt;Вводные!$D$7,0,IF($B$2="Сценарий аренды",AP6+AP5+AP8,AP5))</f>
        <v>0</v>
      </c>
      <c r="AQ9" s="98">
        <f>IF(AQ4&gt;Вводные!$D$7,0,IF($B$2="Сценарий аренды",AQ6+AQ5+AQ8,AQ5))</f>
        <v>0</v>
      </c>
      <c r="AR9" s="98">
        <f>IF(AR4&gt;Вводные!$D$7,0,IF($B$2="Сценарий аренды",AR6+AR5+AR8,AR5))</f>
        <v>0</v>
      </c>
      <c r="AS9" s="98">
        <f>IF(AS4&gt;Вводные!$D$7,0,IF($B$2="Сценарий аренды",AS6+AS5+AS8,AS5))</f>
        <v>0</v>
      </c>
      <c r="AT9" s="98">
        <f>IF(AT4&gt;Вводные!$D$7,0,IF($B$2="Сценарий аренды",AT6+AT5+AT8,AT5))</f>
        <v>0</v>
      </c>
      <c r="AU9" s="98">
        <f>IF(AU4&gt;Вводные!$D$7,0,IF($B$2="Сценарий аренды",AU6+AU5+AU8,AU5))</f>
        <v>0</v>
      </c>
      <c r="AV9" s="98">
        <f>IF(AV4&gt;Вводные!$D$7,0,IF($B$2="Сценарий аренды",AV6+AV5+AV8,AV5))</f>
        <v>0</v>
      </c>
      <c r="AW9" s="98">
        <f>IF(AW4&gt;Вводные!$D$7,0,IF($B$2="Сценарий аренды",AW6+AW5+AW8,AW5))</f>
        <v>0</v>
      </c>
      <c r="AX9" s="98">
        <f>IF(AX4&gt;Вводные!$D$7,0,IF($B$2="Сценарий аренды",AX6+AX5+AX8,AX5))</f>
        <v>0</v>
      </c>
      <c r="AY9" s="98">
        <f>IF(AY4&gt;Вводные!$D$7,0,IF($B$2="Сценарий аренды",AY6+AY5+AY8,AY5))</f>
        <v>0</v>
      </c>
      <c r="AZ9" s="98">
        <f>IF(AZ4&gt;Вводные!$D$7,0,IF($B$2="Сценарий аренды",AZ6+AZ5+AZ8,AZ5))</f>
        <v>0</v>
      </c>
      <c r="BA9" s="98">
        <f>IF(BA4&gt;Вводные!$D$7,0,IF($B$2="Сценарий аренды",BA6+BA5+BA8,BA5))</f>
        <v>0</v>
      </c>
      <c r="BB9" s="98">
        <f>IF(BB4&gt;Вводные!$D$7,0,IF($B$2="Сценарий аренды",BB6+BB5+BB8,BB5))</f>
        <v>0</v>
      </c>
    </row>
    <row r="10" spans="1:55" s="99" customFormat="1" x14ac:dyDescent="0.2">
      <c r="B10" s="99" t="str">
        <f>IF(Вводные!D43="Да","Итоговые расходы по аренде в месяц","Ежемесячное уменьшение сбережений")</f>
        <v>Ежемесячное уменьшение сбережений</v>
      </c>
      <c r="D10" s="100">
        <v>0</v>
      </c>
      <c r="E10" s="100">
        <f>E9/$A$4</f>
        <v>0</v>
      </c>
      <c r="F10" s="100">
        <f t="shared" ref="F10:BB10" si="0">F9/$A$4</f>
        <v>0</v>
      </c>
      <c r="G10" s="100">
        <f t="shared" si="0"/>
        <v>0</v>
      </c>
      <c r="H10" s="100">
        <f t="shared" si="0"/>
        <v>0</v>
      </c>
      <c r="I10" s="100">
        <f t="shared" si="0"/>
        <v>0</v>
      </c>
      <c r="J10" s="100">
        <f t="shared" si="0"/>
        <v>0</v>
      </c>
      <c r="K10" s="100">
        <f t="shared" si="0"/>
        <v>0</v>
      </c>
      <c r="L10" s="100">
        <f t="shared" si="0"/>
        <v>0</v>
      </c>
      <c r="M10" s="100">
        <f t="shared" si="0"/>
        <v>0</v>
      </c>
      <c r="N10" s="100">
        <f t="shared" si="0"/>
        <v>0</v>
      </c>
      <c r="O10" s="100">
        <f t="shared" si="0"/>
        <v>0</v>
      </c>
      <c r="P10" s="100">
        <f t="shared" si="0"/>
        <v>0</v>
      </c>
      <c r="Q10" s="100">
        <f t="shared" si="0"/>
        <v>0</v>
      </c>
      <c r="R10" s="100">
        <f t="shared" si="0"/>
        <v>0</v>
      </c>
      <c r="S10" s="100">
        <f t="shared" si="0"/>
        <v>0</v>
      </c>
      <c r="T10" s="100">
        <f t="shared" si="0"/>
        <v>0</v>
      </c>
      <c r="U10" s="100">
        <f t="shared" si="0"/>
        <v>0</v>
      </c>
      <c r="V10" s="100">
        <f t="shared" si="0"/>
        <v>0</v>
      </c>
      <c r="W10" s="100">
        <f t="shared" si="0"/>
        <v>0</v>
      </c>
      <c r="X10" s="100">
        <f t="shared" si="0"/>
        <v>0</v>
      </c>
      <c r="Y10" s="100">
        <f t="shared" si="0"/>
        <v>0</v>
      </c>
      <c r="Z10" s="100">
        <f t="shared" si="0"/>
        <v>0</v>
      </c>
      <c r="AA10" s="100">
        <f t="shared" si="0"/>
        <v>0</v>
      </c>
      <c r="AB10" s="100">
        <f t="shared" si="0"/>
        <v>0</v>
      </c>
      <c r="AC10" s="100">
        <f t="shared" si="0"/>
        <v>0</v>
      </c>
      <c r="AD10" s="100">
        <f t="shared" si="0"/>
        <v>0</v>
      </c>
      <c r="AE10" s="100">
        <f t="shared" si="0"/>
        <v>0</v>
      </c>
      <c r="AF10" s="100">
        <f t="shared" si="0"/>
        <v>0</v>
      </c>
      <c r="AG10" s="100">
        <f t="shared" si="0"/>
        <v>0</v>
      </c>
      <c r="AH10" s="100">
        <f t="shared" si="0"/>
        <v>0</v>
      </c>
      <c r="AI10" s="100">
        <f t="shared" si="0"/>
        <v>0</v>
      </c>
      <c r="AJ10" s="100">
        <f t="shared" si="0"/>
        <v>0</v>
      </c>
      <c r="AK10" s="100">
        <f t="shared" si="0"/>
        <v>0</v>
      </c>
      <c r="AL10" s="100">
        <f t="shared" si="0"/>
        <v>0</v>
      </c>
      <c r="AM10" s="100">
        <f t="shared" si="0"/>
        <v>0</v>
      </c>
      <c r="AN10" s="100">
        <f t="shared" si="0"/>
        <v>0</v>
      </c>
      <c r="AO10" s="100">
        <f t="shared" si="0"/>
        <v>0</v>
      </c>
      <c r="AP10" s="100">
        <f t="shared" si="0"/>
        <v>0</v>
      </c>
      <c r="AQ10" s="100">
        <f t="shared" si="0"/>
        <v>0</v>
      </c>
      <c r="AR10" s="100">
        <f t="shared" si="0"/>
        <v>0</v>
      </c>
      <c r="AS10" s="100">
        <f t="shared" si="0"/>
        <v>0</v>
      </c>
      <c r="AT10" s="100">
        <f t="shared" si="0"/>
        <v>0</v>
      </c>
      <c r="AU10" s="100">
        <f t="shared" si="0"/>
        <v>0</v>
      </c>
      <c r="AV10" s="100">
        <f t="shared" si="0"/>
        <v>0</v>
      </c>
      <c r="AW10" s="100">
        <f t="shared" si="0"/>
        <v>0</v>
      </c>
      <c r="AX10" s="100">
        <f t="shared" si="0"/>
        <v>0</v>
      </c>
      <c r="AY10" s="100">
        <f t="shared" si="0"/>
        <v>0</v>
      </c>
      <c r="AZ10" s="100">
        <f t="shared" si="0"/>
        <v>0</v>
      </c>
      <c r="BA10" s="100">
        <f t="shared" si="0"/>
        <v>0</v>
      </c>
      <c r="BB10" s="100">
        <f t="shared" si="0"/>
        <v>0</v>
      </c>
    </row>
    <row r="11" spans="1:55" s="99" customFormat="1" x14ac:dyDescent="0.2">
      <c r="B11" s="99" t="s">
        <v>140</v>
      </c>
      <c r="D11" s="100"/>
      <c r="E11" s="100"/>
      <c r="F11" s="234" t="str">
        <f>IFERROR(IF(F9-E9=-E9,"",F9/E9-1),"")</f>
        <v/>
      </c>
      <c r="G11" s="234" t="str">
        <f t="shared" ref="G11:J11" si="1">IFERROR(IF(G9-F9=-F9,"",G9/F9-1),"")</f>
        <v/>
      </c>
      <c r="H11" s="234" t="str">
        <f t="shared" si="1"/>
        <v/>
      </c>
      <c r="I11" s="234" t="str">
        <f t="shared" si="1"/>
        <v/>
      </c>
      <c r="J11" s="234" t="str">
        <f t="shared" si="1"/>
        <v/>
      </c>
      <c r="K11" s="234" t="str">
        <f>IFERROR(IF(K9-J9=-J9,"",K9/J9-1),"")</f>
        <v/>
      </c>
      <c r="L11" s="234" t="str">
        <f t="shared" ref="L11:BB11" si="2">IFERROR(IF(L9-K9=-K9,"",L9/K9-1),"")</f>
        <v/>
      </c>
      <c r="M11" s="234" t="str">
        <f t="shared" si="2"/>
        <v/>
      </c>
      <c r="N11" s="234" t="str">
        <f t="shared" si="2"/>
        <v/>
      </c>
      <c r="O11" s="234" t="str">
        <f t="shared" si="2"/>
        <v/>
      </c>
      <c r="P11" s="234" t="str">
        <f t="shared" si="2"/>
        <v/>
      </c>
      <c r="Q11" s="234" t="str">
        <f t="shared" si="2"/>
        <v/>
      </c>
      <c r="R11" s="234" t="str">
        <f t="shared" si="2"/>
        <v/>
      </c>
      <c r="S11" s="234" t="str">
        <f t="shared" si="2"/>
        <v/>
      </c>
      <c r="T11" s="234" t="str">
        <f t="shared" si="2"/>
        <v/>
      </c>
      <c r="U11" s="234" t="str">
        <f t="shared" si="2"/>
        <v/>
      </c>
      <c r="V11" s="234" t="str">
        <f t="shared" si="2"/>
        <v/>
      </c>
      <c r="W11" s="234" t="str">
        <f t="shared" si="2"/>
        <v/>
      </c>
      <c r="X11" s="234" t="str">
        <f t="shared" si="2"/>
        <v/>
      </c>
      <c r="Y11" s="234" t="str">
        <f t="shared" si="2"/>
        <v/>
      </c>
      <c r="Z11" s="234" t="str">
        <f t="shared" si="2"/>
        <v/>
      </c>
      <c r="AA11" s="234" t="str">
        <f t="shared" si="2"/>
        <v/>
      </c>
      <c r="AB11" s="234" t="str">
        <f t="shared" si="2"/>
        <v/>
      </c>
      <c r="AC11" s="234" t="str">
        <f t="shared" si="2"/>
        <v/>
      </c>
      <c r="AD11" s="234" t="str">
        <f t="shared" si="2"/>
        <v/>
      </c>
      <c r="AE11" s="234" t="str">
        <f t="shared" si="2"/>
        <v/>
      </c>
      <c r="AF11" s="234" t="str">
        <f t="shared" si="2"/>
        <v/>
      </c>
      <c r="AG11" s="234" t="str">
        <f t="shared" si="2"/>
        <v/>
      </c>
      <c r="AH11" s="234" t="str">
        <f t="shared" si="2"/>
        <v/>
      </c>
      <c r="AI11" s="234" t="str">
        <f t="shared" si="2"/>
        <v/>
      </c>
      <c r="AJ11" s="234" t="str">
        <f t="shared" si="2"/>
        <v/>
      </c>
      <c r="AK11" s="234" t="str">
        <f t="shared" si="2"/>
        <v/>
      </c>
      <c r="AL11" s="234" t="str">
        <f t="shared" si="2"/>
        <v/>
      </c>
      <c r="AM11" s="234" t="str">
        <f t="shared" si="2"/>
        <v/>
      </c>
      <c r="AN11" s="234" t="str">
        <f t="shared" si="2"/>
        <v/>
      </c>
      <c r="AO11" s="234" t="str">
        <f t="shared" si="2"/>
        <v/>
      </c>
      <c r="AP11" s="234" t="str">
        <f t="shared" si="2"/>
        <v/>
      </c>
      <c r="AQ11" s="234" t="str">
        <f t="shared" si="2"/>
        <v/>
      </c>
      <c r="AR11" s="234" t="str">
        <f t="shared" si="2"/>
        <v/>
      </c>
      <c r="AS11" s="234" t="str">
        <f t="shared" si="2"/>
        <v/>
      </c>
      <c r="AT11" s="234" t="str">
        <f t="shared" si="2"/>
        <v/>
      </c>
      <c r="AU11" s="234" t="str">
        <f t="shared" si="2"/>
        <v/>
      </c>
      <c r="AV11" s="234" t="str">
        <f t="shared" si="2"/>
        <v/>
      </c>
      <c r="AW11" s="234" t="str">
        <f t="shared" si="2"/>
        <v/>
      </c>
      <c r="AX11" s="234" t="str">
        <f t="shared" si="2"/>
        <v/>
      </c>
      <c r="AY11" s="234" t="str">
        <f t="shared" si="2"/>
        <v/>
      </c>
      <c r="AZ11" s="234" t="str">
        <f t="shared" si="2"/>
        <v/>
      </c>
      <c r="BA11" s="234" t="str">
        <f t="shared" si="2"/>
        <v/>
      </c>
      <c r="BB11" s="234" t="str">
        <f t="shared" si="2"/>
        <v/>
      </c>
    </row>
    <row r="12" spans="1:55" x14ac:dyDescent="0.2">
      <c r="D12" s="13"/>
    </row>
    <row r="13" spans="1:55" x14ac:dyDescent="0.2">
      <c r="B13" s="2" t="str">
        <f>IF(Вводные!D43="Да","Разница между покупкой и арендой","Ежегодные чистые сбережения")</f>
        <v>Ежегодные чистые сбережения</v>
      </c>
      <c r="D13" s="13"/>
      <c r="E13" s="13">
        <f>IF((-Покупка!E36+E9)&gt;0,-Покупка!E36+E9,0)</f>
        <v>333784.37143713335</v>
      </c>
      <c r="F13" s="13">
        <f>IF((-Покупка!F36+F9)&gt;0,-Покупка!F36+F9,0)</f>
        <v>569138.22642259113</v>
      </c>
      <c r="G13" s="13">
        <f>IF((-Покупка!G36+G9)&gt;0,-Покупка!G36+G9,0)</f>
        <v>542381.82035486191</v>
      </c>
      <c r="H13" s="13">
        <f>IF((-Покупка!H36+H9)&gt;0,-Покупка!H36+H9,0)</f>
        <v>536053.54481290048</v>
      </c>
      <c r="I13" s="13">
        <f>IF((-Покупка!I36+I9)&gt;0,-Покупка!I36+I9,0)</f>
        <v>575632.56685287156</v>
      </c>
      <c r="J13" s="13">
        <f>IF((-Покупка!J36+J9)&gt;0,-Покупка!J36+J9,0)</f>
        <v>536706.79237551161</v>
      </c>
      <c r="K13" s="13">
        <f>IF((-Покупка!K36+K9)&gt;0,-Покупка!K36+K9,0)</f>
        <v>494277.69819518889</v>
      </c>
      <c r="L13" s="13">
        <f>IF((-Покупка!L36+L9)&gt;0,-Покупка!L36+L9,0)</f>
        <v>448029.98553863738</v>
      </c>
      <c r="M13" s="13">
        <f>IF((-Покупка!M36+M9)&gt;0,-Покупка!M36+M9,0)</f>
        <v>397619.97874299623</v>
      </c>
      <c r="N13" s="13">
        <f>IF((-Покупка!N36+N9)&gt;0,-Покупка!N36+N9,0)</f>
        <v>342673.07133574761</v>
      </c>
      <c r="O13" s="13">
        <f>IF((-Покупка!O36+O9)&gt;0,-Покупка!O36+O9,0)</f>
        <v>282780.94226184674</v>
      </c>
      <c r="P13" s="13">
        <f>IF((-Покупка!P36+P9)&gt;0,-Покупка!P36+P9,0)</f>
        <v>217498.52157129406</v>
      </c>
      <c r="Q13" s="13">
        <f>IF((-Покупка!Q36+Q9)&gt;0,-Покупка!Q36+Q9,0)</f>
        <v>146340.6830185923</v>
      </c>
      <c r="R13" s="13">
        <f>IF((-Покупка!R36+R9)&gt;0,-Покупка!R36+R9,0)</f>
        <v>68778.638996146852</v>
      </c>
      <c r="S13" s="13">
        <f>IF((-Покупка!S36+S9)&gt;0,-Покупка!S36+S9,0)</f>
        <v>0</v>
      </c>
      <c r="T13" s="13">
        <f>IF((-Покупка!T36+T9)&gt;0,-Покупка!T36+T9,0)</f>
        <v>0</v>
      </c>
      <c r="U13" s="13">
        <f>IF((-Покупка!U36+U9)&gt;0,-Покупка!U36+U9,0)</f>
        <v>0</v>
      </c>
      <c r="V13" s="13">
        <f>IF((-Покупка!V36+V9)&gt;0,-Покупка!V36+V9,0)</f>
        <v>0</v>
      </c>
      <c r="W13" s="13">
        <f>IF((-Покупка!W36+W9)&gt;0,-Покупка!W36+W9,0)</f>
        <v>0</v>
      </c>
      <c r="X13" s="13">
        <f>IF((-Покупка!X36+X9)&gt;0,-Покупка!X36+X9,0)</f>
        <v>0</v>
      </c>
      <c r="Y13" s="13">
        <f>IF((-Покупка!Y36+Y9)&gt;0,-Покупка!Y36+Y9,0)</f>
        <v>0</v>
      </c>
      <c r="Z13" s="13">
        <f>IF((-Покупка!Z36+Z9)&gt;0,-Покупка!Z36+Z9,0)</f>
        <v>0</v>
      </c>
      <c r="AA13" s="13">
        <f>IF((-Покупка!AA36+AA9)&gt;0,-Покупка!AA36+AA9,0)</f>
        <v>0</v>
      </c>
      <c r="AB13" s="13">
        <f>IF((-Покупка!AB36+AB9)&gt;0,-Покупка!AB36+AB9,0)</f>
        <v>0</v>
      </c>
      <c r="AC13" s="13">
        <f>IF((-Покупка!AC36+AC9)&gt;0,-Покупка!AC36+AC9,0)</f>
        <v>0</v>
      </c>
      <c r="AD13" s="13">
        <f>IF((-Покупка!AD36+AD9)&gt;0,-Покупка!AD36+AD9,0)</f>
        <v>0</v>
      </c>
      <c r="AE13" s="13">
        <f>IF((-Покупка!AE36+AE9)&gt;0,-Покупка!AE36+AE9,0)</f>
        <v>0</v>
      </c>
      <c r="AF13" s="13">
        <f>IF((-Покупка!AF36+AF9)&gt;0,-Покупка!AF36+AF9,0)</f>
        <v>0</v>
      </c>
      <c r="AG13" s="13">
        <f>IF((-Покупка!AG36+AG9)&gt;0,-Покупка!AG36+AG9,0)</f>
        <v>0</v>
      </c>
      <c r="AH13" s="13">
        <f>IF((-Покупка!AH36+AH9)&gt;0,-Покупка!AH36+AH9,0)</f>
        <v>0</v>
      </c>
      <c r="AI13" s="13">
        <f>IF((-Покупка!AI36+AI9)&gt;0,-Покупка!AI36+AI9,0)</f>
        <v>0</v>
      </c>
      <c r="AJ13" s="13">
        <f>IF((-Покупка!AJ36+AJ9)&gt;0,-Покупка!AJ36+AJ9,0)</f>
        <v>0</v>
      </c>
      <c r="AK13" s="13">
        <f>IF((-Покупка!AK36+AK9)&gt;0,-Покупка!AK36+AK9,0)</f>
        <v>0</v>
      </c>
      <c r="AL13" s="13">
        <f>IF((-Покупка!AL36+AL9)&gt;0,-Покупка!AL36+AL9,0)</f>
        <v>0</v>
      </c>
      <c r="AM13" s="13">
        <f>IF((-Покупка!AM36+AM9)&gt;0,-Покупка!AM36+AM9,0)</f>
        <v>0</v>
      </c>
      <c r="AN13" s="13">
        <f>IF((-Покупка!AN36+AN9)&gt;0,-Покупка!AN36+AN9,0)</f>
        <v>0</v>
      </c>
      <c r="AO13" s="13">
        <f>IF((-Покупка!AO36+AO9)&gt;0,-Покупка!AO36+AO9,0)</f>
        <v>0</v>
      </c>
      <c r="AP13" s="13">
        <f>IF((-Покупка!AP36+AP9)&gt;0,-Покупка!AP36+AP9,0)</f>
        <v>0</v>
      </c>
      <c r="AQ13" s="13">
        <f>IF((-Покупка!AQ36+AQ9)&gt;0,-Покупка!AQ36+AQ9,0)</f>
        <v>0</v>
      </c>
      <c r="AR13" s="13">
        <f>IF((-Покупка!AR36+AR9)&gt;0,-Покупка!AR36+AR9,0)</f>
        <v>0</v>
      </c>
      <c r="AS13" s="13">
        <f>IF((-Покупка!AS36+AS9)&gt;0,-Покупка!AS36+AS9,0)</f>
        <v>0</v>
      </c>
      <c r="AT13" s="13">
        <f>IF((-Покупка!AT36+AT9)&gt;0,-Покупка!AT36+AT9,0)</f>
        <v>0</v>
      </c>
      <c r="AU13" s="13">
        <f>IF((-Покупка!AU36+AU9)&gt;0,-Покупка!AU36+AU9,0)</f>
        <v>0</v>
      </c>
      <c r="AV13" s="13">
        <f>IF((-Покупка!AV36+AV9)&gt;0,-Покупка!AV36+AV9,0)</f>
        <v>0</v>
      </c>
      <c r="AW13" s="13">
        <f>IF((-Покупка!AW36+AW9)&gt;0,-Покупка!AW36+AW9,0)</f>
        <v>0</v>
      </c>
      <c r="AX13" s="13">
        <f>IF((-Покупка!AX36+AX9)&gt;0,-Покупка!AX36+AX9,0)</f>
        <v>0</v>
      </c>
      <c r="AY13" s="13">
        <f>IF((-Покупка!AY36+AY9)&gt;0,-Покупка!AY36+AY9,0)</f>
        <v>0</v>
      </c>
      <c r="AZ13" s="13">
        <f>IF((-Покупка!AZ36+AZ9)&gt;0,-Покупка!AZ36+AZ9,0)</f>
        <v>0</v>
      </c>
      <c r="BA13" s="13">
        <f>IF((-Покупка!BA36+BA9)&gt;0,-Покупка!BA36+BA9,0)</f>
        <v>0</v>
      </c>
      <c r="BB13" s="13">
        <f>IF((-Покупка!BB36+BB9)&gt;0,-Покупка!BB36+BB9,0)</f>
        <v>0</v>
      </c>
    </row>
    <row r="14" spans="1:55" x14ac:dyDescent="0.2">
      <c r="B14" s="2" t="s">
        <v>124</v>
      </c>
      <c r="D14" s="13"/>
      <c r="E14" s="13">
        <f>IF(E4&gt;Вводные!$D$7,0,D15*Вводные!$D$58)</f>
        <v>507499.99999999994</v>
      </c>
      <c r="F14" s="13">
        <f>IF(F4&gt;Вводные!$D$7,0,E15*Вводные!$D$58)</f>
        <v>629486.23385838431</v>
      </c>
      <c r="G14" s="13">
        <f>IF(G4&gt;Вводные!$D$7,0,F15*Вводные!$D$58)</f>
        <v>803286.78059912566</v>
      </c>
      <c r="H14" s="13">
        <f>IF(H4&gt;Вводные!$D$7,0,G15*Вводные!$D$58)</f>
        <v>998408.72773745388</v>
      </c>
      <c r="I14" s="13">
        <f>IF(I4&gt;Вводные!$D$7,0,H15*Вводные!$D$58)</f>
        <v>1220905.7572572553</v>
      </c>
      <c r="J14" s="13">
        <f>IF(J4&gt;Вводные!$D$7,0,I15*Вводные!$D$58)</f>
        <v>1481403.8142532234</v>
      </c>
      <c r="K14" s="13">
        <f>IF(K4&gt;Вводные!$D$7,0,J15*Вводные!$D$58)</f>
        <v>1774029.8522143902</v>
      </c>
      <c r="L14" s="13">
        <f>IF(L4&gt;Вводные!$D$7,0,K15*Вводные!$D$58)</f>
        <v>2102934.4470237792</v>
      </c>
      <c r="M14" s="13">
        <f>IF(M4&gt;Вводные!$D$7,0,L15*Вводные!$D$58)</f>
        <v>2472824.2897453294</v>
      </c>
      <c r="N14" s="13">
        <f>IF(N4&gt;Вводные!$D$7,0,M15*Вводные!$D$58)</f>
        <v>2889038.7086761375</v>
      </c>
      <c r="O14" s="13">
        <f>IF(O4&gt;Вводные!$D$7,0,N15*Вводные!$D$58)</f>
        <v>3357636.9167778604</v>
      </c>
      <c r="P14" s="13">
        <f>IF(P4&gt;Вводные!$D$7,0,O15*Вводные!$D$58)</f>
        <v>3885497.5063386182</v>
      </c>
      <c r="Q14" s="13">
        <f>IF(Q4&gt;Вводные!$D$7,0,P15*Вводные!$D$58)</f>
        <v>4480431.9303855551</v>
      </c>
      <c r="R14" s="13">
        <f>IF(R4&gt;Вводные!$D$7,0,Q15*Вводные!$D$58)</f>
        <v>5151313.9593291571</v>
      </c>
      <c r="S14" s="13">
        <f>IF(S4&gt;Вводные!$D$7,0,R15*Вводные!$D$58)</f>
        <v>5908227.3860863261</v>
      </c>
      <c r="T14" s="13">
        <f>IF(T4&gt;Вводные!$D$7,0,S15*Вводные!$D$58)</f>
        <v>0</v>
      </c>
      <c r="U14" s="13">
        <f>IF(U4&gt;Вводные!$D$7,0,T15*Вводные!$D$58)</f>
        <v>0</v>
      </c>
      <c r="V14" s="13">
        <f>IF(V4&gt;Вводные!$D$7,0,U15*Вводные!$D$58)</f>
        <v>0</v>
      </c>
      <c r="W14" s="13">
        <f>IF(W4&gt;Вводные!$D$7,0,V15*Вводные!$D$58)</f>
        <v>0</v>
      </c>
      <c r="X14" s="13">
        <f>IF(X4&gt;Вводные!$D$7,0,W15*Вводные!$D$58)</f>
        <v>0</v>
      </c>
      <c r="Y14" s="13">
        <f>IF(Y4&gt;Вводные!$D$7,0,X15*Вводные!$D$58)</f>
        <v>0</v>
      </c>
      <c r="Z14" s="13">
        <f>IF(Z4&gt;Вводные!$D$7,0,Y15*Вводные!$D$58)</f>
        <v>0</v>
      </c>
      <c r="AA14" s="13">
        <f>IF(AA4&gt;Вводные!$D$7,0,Z15*Вводные!$D$58)</f>
        <v>0</v>
      </c>
      <c r="AB14" s="13">
        <f>IF(AB4&gt;Вводные!$D$7,0,AA15*Вводные!$D$58)</f>
        <v>0</v>
      </c>
      <c r="AC14" s="13">
        <f>IF(AC4&gt;Вводные!$D$7,0,AB15*Вводные!$D$58)</f>
        <v>0</v>
      </c>
      <c r="AD14" s="13">
        <f>IF(AD4&gt;Вводные!$D$7,0,AC15*Вводные!$D$58)</f>
        <v>0</v>
      </c>
      <c r="AE14" s="13">
        <f>IF(AE4&gt;Вводные!$D$7,0,AD15*Вводные!$D$58)</f>
        <v>0</v>
      </c>
      <c r="AF14" s="13">
        <f>IF(AF4&gt;Вводные!$D$7,0,AE15*Вводные!$D$58)</f>
        <v>0</v>
      </c>
      <c r="AG14" s="13">
        <f>IF(AG4&gt;Вводные!$D$7,0,AF15*Вводные!$D$58)</f>
        <v>0</v>
      </c>
      <c r="AH14" s="13">
        <f>IF(AH4&gt;Вводные!$D$7,0,AG15*Вводные!$D$58)</f>
        <v>0</v>
      </c>
      <c r="AI14" s="13">
        <f>IF(AI4&gt;Вводные!$D$7,0,AH15*Вводные!$D$58)</f>
        <v>0</v>
      </c>
      <c r="AJ14" s="13">
        <f>IF(AJ4&gt;Вводные!$D$7,0,AI15*Вводные!$D$58)</f>
        <v>0</v>
      </c>
      <c r="AK14" s="13">
        <f>IF(AK4&gt;Вводные!$D$7,0,AJ15*Вводные!$D$58)</f>
        <v>0</v>
      </c>
      <c r="AL14" s="13">
        <f>IF(AL4&gt;Вводные!$D$7,0,AK15*Вводные!$D$58)</f>
        <v>0</v>
      </c>
      <c r="AM14" s="13">
        <f>IF(AM4&gt;Вводные!$D$7,0,AL15*Вводные!$D$58)</f>
        <v>0</v>
      </c>
      <c r="AN14" s="13">
        <f>IF(AN4&gt;Вводные!$D$7,0,AM15*Вводные!$D$58)</f>
        <v>0</v>
      </c>
      <c r="AO14" s="13">
        <f>IF(AO4&gt;Вводные!$D$7,0,AN15*Вводные!$D$58)</f>
        <v>0</v>
      </c>
      <c r="AP14" s="13">
        <f>IF(AP4&gt;Вводные!$D$7,0,AO15*Вводные!$D$58)</f>
        <v>0</v>
      </c>
      <c r="AQ14" s="13">
        <f>IF(AQ4&gt;Вводные!$D$7,0,AP15*Вводные!$D$58)</f>
        <v>0</v>
      </c>
      <c r="AR14" s="13">
        <f>IF(AR4&gt;Вводные!$D$7,0,AQ15*Вводные!$D$58)</f>
        <v>0</v>
      </c>
      <c r="AS14" s="13">
        <f>IF(AS4&gt;Вводные!$D$7,0,AR15*Вводные!$D$58)</f>
        <v>0</v>
      </c>
      <c r="AT14" s="13">
        <f>IF(AT4&gt;Вводные!$D$7,0,AS15*Вводные!$D$58)</f>
        <v>0</v>
      </c>
      <c r="AU14" s="13">
        <f>IF(AU4&gt;Вводные!$D$7,0,AT15*Вводные!$D$58)</f>
        <v>0</v>
      </c>
      <c r="AV14" s="13">
        <f>IF(AV4&gt;Вводные!$D$7,0,AU15*Вводные!$D$58)</f>
        <v>0</v>
      </c>
      <c r="AW14" s="13">
        <f>IF(AW4&gt;Вводные!$D$7,0,AV15*Вводные!$D$58)</f>
        <v>0</v>
      </c>
      <c r="AX14" s="13">
        <f>IF(AX4&gt;Вводные!$D$7,0,AW15*Вводные!$D$58)</f>
        <v>0</v>
      </c>
      <c r="AY14" s="13">
        <f>IF(AY4&gt;Вводные!$D$7,0,AX15*Вводные!$D$58)</f>
        <v>0</v>
      </c>
      <c r="AZ14" s="13">
        <f>IF(AZ4&gt;Вводные!$D$7,0,AY15*Вводные!$D$58)</f>
        <v>0</v>
      </c>
      <c r="BA14" s="13">
        <f>IF(BA4&gt;Вводные!$D$7,0,AZ15*Вводные!$D$58)</f>
        <v>0</v>
      </c>
      <c r="BB14" s="13">
        <f>IF(BB4&gt;Вводные!$D$7,0,BA15*Вводные!$D$58)</f>
        <v>0</v>
      </c>
    </row>
    <row r="15" spans="1:55" s="96" customFormat="1" x14ac:dyDescent="0.2">
      <c r="B15" s="62" t="s">
        <v>125</v>
      </c>
      <c r="C15" s="62"/>
      <c r="D15" s="98">
        <f>Вводные!D42</f>
        <v>3500000</v>
      </c>
      <c r="E15" s="98">
        <f>IF(E4&gt;Вводные!$D$7,0,D15+E14+E13)</f>
        <v>4341284.3714371333</v>
      </c>
      <c r="F15" s="98">
        <f>IF(F4&gt;Вводные!$D$7,0,E15+F14+F13)</f>
        <v>5539908.8317181086</v>
      </c>
      <c r="G15" s="98">
        <f>IF(G4&gt;Вводные!$D$7,0,F15+G14+G13)</f>
        <v>6885577.4326720964</v>
      </c>
      <c r="H15" s="98">
        <f>IF(H4&gt;Вводные!$D$7,0,G15+H14+H13)</f>
        <v>8420039.7052224502</v>
      </c>
      <c r="I15" s="98">
        <f>IF(I4&gt;Вводные!$D$7,0,H15+I14+I13)</f>
        <v>10216578.029332576</v>
      </c>
      <c r="J15" s="98">
        <f>IF(J4&gt;Вводные!$D$7,0,I15+J14+J13)</f>
        <v>12234688.635961313</v>
      </c>
      <c r="K15" s="98">
        <f>IF(K4&gt;Вводные!$D$7,0,J15+K14+K13)</f>
        <v>14502996.186370892</v>
      </c>
      <c r="L15" s="98">
        <f>IF(L4&gt;Вводные!$D$7,0,K15+L14+L13)</f>
        <v>17053960.618933309</v>
      </c>
      <c r="M15" s="98">
        <f>IF(M4&gt;Вводные!$D$7,0,L15+M14+M13)</f>
        <v>19924404.887421638</v>
      </c>
      <c r="N15" s="98">
        <f>IF(N4&gt;Вводные!$D$7,0,M15+N14+N13)</f>
        <v>23156116.667433523</v>
      </c>
      <c r="O15" s="98">
        <f>IF(O4&gt;Вводные!$D$7,0,N15+O14+O13)</f>
        <v>26796534.526473232</v>
      </c>
      <c r="P15" s="98">
        <f>IF(P4&gt;Вводные!$D$7,0,O15+P14+P13)</f>
        <v>30899530.554383144</v>
      </c>
      <c r="Q15" s="98">
        <f>IF(Q4&gt;Вводные!$D$7,0,P15+Q14+Q13)</f>
        <v>35526303.167787291</v>
      </c>
      <c r="R15" s="98">
        <f>IF(R4&gt;Вводные!$D$7,0,Q15+R14+R13)</f>
        <v>40746395.766112596</v>
      </c>
      <c r="S15" s="98">
        <f>IF(S4&gt;Вводные!$D$7,0,R15+S14+S13)</f>
        <v>46654623.152198926</v>
      </c>
      <c r="T15" s="98">
        <f>IF(T4&gt;Вводные!$D$7,0,S15+T14+T13)</f>
        <v>0</v>
      </c>
      <c r="U15" s="98">
        <f>IF(U4&gt;Вводные!$D$7,0,T15+U14+U13)</f>
        <v>0</v>
      </c>
      <c r="V15" s="98">
        <f>IF(V4&gt;Вводные!$D$7,0,U15+V14+V13)</f>
        <v>0</v>
      </c>
      <c r="W15" s="98">
        <f>IF(W4&gt;Вводные!$D$7,0,V15+W14+W13)</f>
        <v>0</v>
      </c>
      <c r="X15" s="98">
        <f>IF(X4&gt;Вводные!$D$7,0,W15+X14+X13)</f>
        <v>0</v>
      </c>
      <c r="Y15" s="98">
        <f>IF(Y4&gt;Вводные!$D$7,0,X15+Y14+Y13)</f>
        <v>0</v>
      </c>
      <c r="Z15" s="98">
        <f>IF(Z4&gt;Вводные!$D$7,0,Y15+Z14+Z13)</f>
        <v>0</v>
      </c>
      <c r="AA15" s="98">
        <f>IF(AA4&gt;Вводные!$D$7,0,Z15+AA14+AA13)</f>
        <v>0</v>
      </c>
      <c r="AB15" s="98">
        <f>IF(AB4&gt;Вводные!$D$7,0,AA15+AB14+AB13)</f>
        <v>0</v>
      </c>
      <c r="AC15" s="98">
        <f>IF(AC4&gt;Вводные!$D$7,0,AB15+AC14+AC13)</f>
        <v>0</v>
      </c>
      <c r="AD15" s="98">
        <f>IF(AD4&gt;Вводные!$D$7,0,AC15+AD14+AD13)</f>
        <v>0</v>
      </c>
      <c r="AE15" s="98">
        <f>IF(AE4&gt;Вводные!$D$7,0,AD15+AE14+AE13)</f>
        <v>0</v>
      </c>
      <c r="AF15" s="98">
        <f>IF(AF4&gt;Вводные!$D$7,0,AE15+AF14+AF13)</f>
        <v>0</v>
      </c>
      <c r="AG15" s="98">
        <f>IF(AG4&gt;Вводные!$D$7,0,AF15+AG14+AG13)</f>
        <v>0</v>
      </c>
      <c r="AH15" s="98">
        <f>IF(AH4&gt;Вводные!$D$7,0,AG15+AH14+AH13)</f>
        <v>0</v>
      </c>
      <c r="AI15" s="98">
        <f>IF(AI4&gt;Вводные!$D$7,0,AH15+AI14+AI13)</f>
        <v>0</v>
      </c>
      <c r="AJ15" s="98">
        <f>IF(AJ4&gt;Вводные!$D$7,0,AI15+AJ14+AJ13)</f>
        <v>0</v>
      </c>
      <c r="AK15" s="98">
        <f>IF(AK4&gt;Вводные!$D$7,0,AJ15+AK14+AK13)</f>
        <v>0</v>
      </c>
      <c r="AL15" s="98">
        <f>IF(AL4&gt;Вводные!$D$7,0,AK15+AL14+AL13)</f>
        <v>0</v>
      </c>
      <c r="AM15" s="98">
        <f>IF(AM4&gt;Вводные!$D$7,0,AL15+AM14+AM13)</f>
        <v>0</v>
      </c>
      <c r="AN15" s="98">
        <f>IF(AN4&gt;Вводные!$D$7,0,AM15+AN14+AN13)</f>
        <v>0</v>
      </c>
      <c r="AO15" s="98">
        <f>IF(AO4&gt;Вводные!$D$7,0,AN15+AO14+AO13)</f>
        <v>0</v>
      </c>
      <c r="AP15" s="98">
        <f>IF(AP4&gt;Вводные!$D$7,0,AO15+AP14+AP13)</f>
        <v>0</v>
      </c>
      <c r="AQ15" s="98">
        <f>IF(AQ4&gt;Вводные!$D$7,0,AP15+AQ14+AQ13)</f>
        <v>0</v>
      </c>
      <c r="AR15" s="98">
        <f>IF(AR4&gt;Вводные!$D$7,0,AQ15+AR14+AR13)</f>
        <v>0</v>
      </c>
      <c r="AS15" s="98">
        <f>IF(AS4&gt;Вводные!$D$7,0,AR15+AS14+AS13)</f>
        <v>0</v>
      </c>
      <c r="AT15" s="98">
        <f>IF(AT4&gt;Вводные!$D$7,0,AS15+AT14+AT13)</f>
        <v>0</v>
      </c>
      <c r="AU15" s="98">
        <f>IF(AU4&gt;Вводные!$D$7,0,AT15+AU14+AU13)</f>
        <v>0</v>
      </c>
      <c r="AV15" s="98">
        <f>IF(AV4&gt;Вводные!$D$7,0,AU15+AV14+AV13)</f>
        <v>0</v>
      </c>
      <c r="AW15" s="98">
        <f>IF(AW4&gt;Вводные!$D$7,0,AV15+AW14+AW13)</f>
        <v>0</v>
      </c>
      <c r="AX15" s="98">
        <f>IF(AX4&gt;Вводные!$D$7,0,AW15+AX14+AX13)</f>
        <v>0</v>
      </c>
      <c r="AY15" s="98">
        <f>IF(AY4&gt;Вводные!$D$7,0,AX15+AY14+AY13)</f>
        <v>0</v>
      </c>
      <c r="AZ15" s="98">
        <f>IF(AZ4&gt;Вводные!$D$7,0,AY15+AZ14+AZ13)</f>
        <v>0</v>
      </c>
      <c r="BA15" s="98">
        <f>IF(BA4&gt;Вводные!$D$7,0,AZ15+BA14+BA13)</f>
        <v>0</v>
      </c>
      <c r="BB15" s="98">
        <f>IF(BB4&gt;Вводные!$D$7,0,BA15+BB14+BB13)</f>
        <v>0</v>
      </c>
    </row>
    <row r="16" spans="1:55" s="99" customFormat="1" x14ac:dyDescent="0.2">
      <c r="B16" s="99" t="s">
        <v>126</v>
      </c>
      <c r="E16" s="101">
        <f>IFERROR(IF(E15-D15=-D15,"",E15/D15-1),"")</f>
        <v>0.24036696326775231</v>
      </c>
      <c r="F16" s="101">
        <f t="shared" ref="F16:BB16" si="3">IFERROR(IF(F15-E15=-E15,"",F15/E15-1),"")</f>
        <v>0.27609904298533294</v>
      </c>
      <c r="G16" s="101">
        <f t="shared" si="3"/>
        <v>0.24290446681171307</v>
      </c>
      <c r="H16" s="101">
        <f t="shared" si="3"/>
        <v>0.22285164716459693</v>
      </c>
      <c r="I16" s="101">
        <f t="shared" si="3"/>
        <v>0.21336459054888302</v>
      </c>
      <c r="J16" s="101">
        <f t="shared" si="3"/>
        <v>0.19753293136259398</v>
      </c>
      <c r="K16" s="101">
        <f t="shared" si="3"/>
        <v>0.18539969572600024</v>
      </c>
      <c r="L16" s="101">
        <f t="shared" si="3"/>
        <v>0.17589223632008344</v>
      </c>
      <c r="M16" s="101">
        <f t="shared" si="3"/>
        <v>0.16831540383068333</v>
      </c>
      <c r="N16" s="101">
        <f t="shared" si="3"/>
        <v>0.16219866029986574</v>
      </c>
      <c r="O16" s="101">
        <f t="shared" si="3"/>
        <v>0.15721193286953627</v>
      </c>
      <c r="P16" s="101">
        <f t="shared" si="3"/>
        <v>0.15311666603218477</v>
      </c>
      <c r="Q16" s="101">
        <f t="shared" si="3"/>
        <v>0.14973601638578393</v>
      </c>
      <c r="R16" s="101">
        <f t="shared" si="3"/>
        <v>0.14693599200770513</v>
      </c>
      <c r="S16" s="101">
        <f t="shared" si="3"/>
        <v>0.14500000000000002</v>
      </c>
      <c r="T16" s="101" t="str">
        <f t="shared" si="3"/>
        <v/>
      </c>
      <c r="U16" s="101" t="str">
        <f t="shared" si="3"/>
        <v/>
      </c>
      <c r="V16" s="101" t="str">
        <f t="shared" si="3"/>
        <v/>
      </c>
      <c r="W16" s="101" t="str">
        <f t="shared" si="3"/>
        <v/>
      </c>
      <c r="X16" s="101" t="str">
        <f t="shared" si="3"/>
        <v/>
      </c>
      <c r="Y16" s="101" t="str">
        <f>IFERROR(IF(Y15-X15=-X15,"",Y15/X15-1),"")</f>
        <v/>
      </c>
      <c r="Z16" s="101" t="str">
        <f t="shared" si="3"/>
        <v/>
      </c>
      <c r="AA16" s="101" t="str">
        <f t="shared" si="3"/>
        <v/>
      </c>
      <c r="AB16" s="101" t="str">
        <f t="shared" si="3"/>
        <v/>
      </c>
      <c r="AC16" s="101" t="str">
        <f t="shared" si="3"/>
        <v/>
      </c>
      <c r="AD16" s="101" t="str">
        <f t="shared" si="3"/>
        <v/>
      </c>
      <c r="AE16" s="101" t="str">
        <f t="shared" si="3"/>
        <v/>
      </c>
      <c r="AF16" s="101" t="str">
        <f t="shared" si="3"/>
        <v/>
      </c>
      <c r="AG16" s="101" t="str">
        <f t="shared" si="3"/>
        <v/>
      </c>
      <c r="AH16" s="101" t="str">
        <f t="shared" si="3"/>
        <v/>
      </c>
      <c r="AI16" s="101" t="str">
        <f t="shared" si="3"/>
        <v/>
      </c>
      <c r="AJ16" s="101" t="str">
        <f t="shared" si="3"/>
        <v/>
      </c>
      <c r="AK16" s="101" t="str">
        <f t="shared" si="3"/>
        <v/>
      </c>
      <c r="AL16" s="101" t="str">
        <f t="shared" si="3"/>
        <v/>
      </c>
      <c r="AM16" s="101" t="str">
        <f t="shared" si="3"/>
        <v/>
      </c>
      <c r="AN16" s="101" t="str">
        <f t="shared" si="3"/>
        <v/>
      </c>
      <c r="AO16" s="101" t="str">
        <f t="shared" si="3"/>
        <v/>
      </c>
      <c r="AP16" s="101" t="str">
        <f t="shared" si="3"/>
        <v/>
      </c>
      <c r="AQ16" s="101" t="str">
        <f t="shared" si="3"/>
        <v/>
      </c>
      <c r="AR16" s="101" t="str">
        <f t="shared" si="3"/>
        <v/>
      </c>
      <c r="AS16" s="101" t="str">
        <f t="shared" si="3"/>
        <v/>
      </c>
      <c r="AT16" s="101" t="str">
        <f t="shared" si="3"/>
        <v/>
      </c>
      <c r="AU16" s="101" t="str">
        <f t="shared" si="3"/>
        <v/>
      </c>
      <c r="AV16" s="101" t="str">
        <f t="shared" si="3"/>
        <v/>
      </c>
      <c r="AW16" s="101" t="str">
        <f t="shared" si="3"/>
        <v/>
      </c>
      <c r="AX16" s="101" t="str">
        <f t="shared" si="3"/>
        <v/>
      </c>
      <c r="AY16" s="101" t="str">
        <f t="shared" si="3"/>
        <v/>
      </c>
      <c r="AZ16" s="101" t="str">
        <f t="shared" si="3"/>
        <v/>
      </c>
      <c r="BA16" s="101" t="str">
        <f t="shared" si="3"/>
        <v/>
      </c>
      <c r="BB16" s="101" t="str">
        <f t="shared" si="3"/>
        <v/>
      </c>
    </row>
    <row r="17" spans="2:54" s="96" customFormat="1" x14ac:dyDescent="0.2">
      <c r="B17" s="105" t="s">
        <v>202</v>
      </c>
      <c r="C17" s="105"/>
      <c r="D17" s="266">
        <f>-D15+D9</f>
        <v>-3500000</v>
      </c>
      <c r="E17" s="266">
        <f>IF(E4&lt;Вводные!$D$7,E9-E13,E9-E13+E15)</f>
        <v>-333784.37143713335</v>
      </c>
      <c r="F17" s="266">
        <f>IF(F4&lt;Вводные!$D$7,F9-F13,F9-F13+F15)</f>
        <v>-569138.22642259113</v>
      </c>
      <c r="G17" s="266">
        <f>IF(G4&lt;Вводные!$D$7,G9-G13,G9-G13+G15)</f>
        <v>-542381.82035486191</v>
      </c>
      <c r="H17" s="266">
        <f>IF(H4&lt;Вводные!$D$7,H9-H13,H9-H13+H15)</f>
        <v>-536053.54481290048</v>
      </c>
      <c r="I17" s="266">
        <f>IF(I4&lt;Вводные!$D$7,I9-I13,I9-I13+I15)</f>
        <v>-575632.56685287156</v>
      </c>
      <c r="J17" s="266">
        <f>IF(J4&lt;Вводные!$D$7,J9-J13,J9-J13+J15)</f>
        <v>-536706.79237551161</v>
      </c>
      <c r="K17" s="266">
        <f>IF(K4&lt;Вводные!$D$7,K9-K13,K9-K13+K15)</f>
        <v>-494277.69819518889</v>
      </c>
      <c r="L17" s="266">
        <f>IF(L4&lt;Вводные!$D$7,L9-L13,L9-L13+L15)</f>
        <v>-448029.98553863738</v>
      </c>
      <c r="M17" s="266">
        <f>IF(M4&lt;Вводные!$D$7,M9-M13,M9-M13+M15)</f>
        <v>-397619.97874299623</v>
      </c>
      <c r="N17" s="266">
        <f>IF(N4&lt;Вводные!$D$7,N9-N13,N9-N13+N15)</f>
        <v>-342673.07133574761</v>
      </c>
      <c r="O17" s="266">
        <f>IF(O4&lt;Вводные!$D$7,O9-O13,O9-O13+O15)</f>
        <v>-282780.94226184674</v>
      </c>
      <c r="P17" s="266">
        <f>IF(P4&lt;Вводные!$D$7,P9-P13,P9-P13+P15)</f>
        <v>-217498.52157129406</v>
      </c>
      <c r="Q17" s="266">
        <f>IF(Q4&lt;Вводные!$D$7,Q9-Q13,Q9-Q13+Q15)</f>
        <v>-146340.6830185923</v>
      </c>
      <c r="R17" s="266">
        <f>IF(R4&lt;Вводные!$D$7,R9-R13,R9-R13+R15)</f>
        <v>-68778.638996146852</v>
      </c>
      <c r="S17" s="266">
        <f>IF(S4&lt;Вводные!$D$7,S9-S13,S9-S13+S15)</f>
        <v>46654623.152198926</v>
      </c>
      <c r="T17" s="266">
        <f>IF(T4&lt;Вводные!$D$7,T9-T13,T9-T13+T15)</f>
        <v>0</v>
      </c>
      <c r="U17" s="266">
        <f>IF(U4&lt;Вводные!$D$7,U9-U13,U9-U13+U15)</f>
        <v>0</v>
      </c>
      <c r="V17" s="266">
        <f>IF(V4&lt;Вводные!$D$7,V9-V13,V9-V13+V15)</f>
        <v>0</v>
      </c>
      <c r="W17" s="266">
        <f>IF(W4&lt;Вводные!$D$7,W9-W13,W9-W13+W15)</f>
        <v>0</v>
      </c>
      <c r="X17" s="266">
        <f>IF(X4&lt;Вводные!$D$7,X9-X13,X9-X13+X15)</f>
        <v>0</v>
      </c>
      <c r="Y17" s="266">
        <f>IF(Y4&lt;Вводные!$D$7,Y9-Y13,Y9-Y13+Y15)</f>
        <v>0</v>
      </c>
      <c r="Z17" s="266">
        <f>IF(Z4&lt;Вводные!$D$7,Z9-Z13,Z9-Z13+Z15)</f>
        <v>0</v>
      </c>
      <c r="AA17" s="266">
        <f>IF(AA4&lt;Вводные!$D$7,AA9-AA13,AA9-AA13+AA15)</f>
        <v>0</v>
      </c>
      <c r="AB17" s="266">
        <f>IF(AB4&lt;Вводные!$D$7,AB9-AB13,AB9-AB13+AB15)</f>
        <v>0</v>
      </c>
      <c r="AC17" s="266">
        <f>IF(AC4&lt;Вводные!$D$7,AC9-AC13,AC9-AC13+AC15)</f>
        <v>0</v>
      </c>
      <c r="AD17" s="266">
        <f>IF(AD4&lt;Вводные!$D$7,AD9-AD13,AD9-AD13+AD15)</f>
        <v>0</v>
      </c>
      <c r="AE17" s="266">
        <f>IF(AE4&lt;Вводные!$D$7,AE9-AE13,AE9-AE13+AE15)</f>
        <v>0</v>
      </c>
      <c r="AF17" s="266">
        <f>IF(AF4&lt;Вводные!$D$7,AF9-AF13,AF9-AF13+AF15)</f>
        <v>0</v>
      </c>
      <c r="AG17" s="266">
        <f>IF(AG4&lt;Вводные!$D$7,AG9-AG13,AG9-AG13+AG15)</f>
        <v>0</v>
      </c>
      <c r="AH17" s="266">
        <f>IF(AH4&lt;Вводные!$D$7,AH9-AH13,AH9-AH13+AH15)</f>
        <v>0</v>
      </c>
      <c r="AI17" s="266">
        <f>IF(AI4&lt;Вводные!$D$7,AI9-AI13,AI9-AI13+AI15)</f>
        <v>0</v>
      </c>
      <c r="AJ17" s="266">
        <f>IF(AJ4&lt;Вводные!$D$7,AJ9-AJ13,AJ9-AJ13+AJ15)</f>
        <v>0</v>
      </c>
      <c r="AK17" s="266">
        <f>IF(AK4&lt;Вводные!$D$7,AK9-AK13,AK9-AK13+AK15)</f>
        <v>0</v>
      </c>
      <c r="AL17" s="266">
        <f>IF(AL4&lt;Вводные!$D$7,AL9-AL13,AL9-AL13+AL15)</f>
        <v>0</v>
      </c>
      <c r="AM17" s="266">
        <f>IF(AM4&lt;Вводные!$D$7,AM9-AM13,AM9-AM13+AM15)</f>
        <v>0</v>
      </c>
      <c r="AN17" s="266">
        <f>IF(AN4&lt;Вводные!$D$7,AN9-AN13,AN9-AN13+AN15)</f>
        <v>0</v>
      </c>
      <c r="AO17" s="266">
        <f>IF(AO4&lt;Вводные!$D$7,AO9-AO13,AO9-AO13+AO15)</f>
        <v>0</v>
      </c>
      <c r="AP17" s="266">
        <f>IF(AP4&lt;Вводные!$D$7,AP9-AP13,AP9-AP13+AP15)</f>
        <v>0</v>
      </c>
      <c r="AQ17" s="266">
        <f>IF(AQ4&lt;Вводные!$D$7,AQ9-AQ13,AQ9-AQ13+AQ15)</f>
        <v>0</v>
      </c>
      <c r="AR17" s="266">
        <f>IF(AR4&lt;Вводные!$D$7,AR9-AR13,AR9-AR13+AR15)</f>
        <v>0</v>
      </c>
      <c r="AS17" s="266">
        <f>IF(AS4&lt;Вводные!$D$7,AS9-AS13,AS9-AS13+AS15)</f>
        <v>0</v>
      </c>
      <c r="AT17" s="266">
        <f>IF(AT4&lt;Вводные!$D$7,AT9-AT13,AT9-AT13+AT15)</f>
        <v>0</v>
      </c>
      <c r="AU17" s="266">
        <f>IF(AU4&lt;Вводные!$D$7,AU9-AU13,AU9-AU13+AU15)</f>
        <v>0</v>
      </c>
      <c r="AV17" s="266">
        <f>IF(AV4&lt;Вводные!$D$7,AV9-AV13,AV9-AV13+AV15)</f>
        <v>0</v>
      </c>
      <c r="AW17" s="266">
        <f>IF(AW4&lt;Вводные!$D$7,AW9-AW13,AW9-AW13+AW15)</f>
        <v>0</v>
      </c>
      <c r="AX17" s="266">
        <f>IF(AX4&lt;Вводные!$D$7,AX9-AX13,AX9-AX13+AX15)</f>
        <v>0</v>
      </c>
      <c r="AY17" s="266">
        <f>IF(AY4&lt;Вводные!$D$7,AY9-AY13,AY9-AY13+AY15)</f>
        <v>0</v>
      </c>
      <c r="AZ17" s="266">
        <f>IF(AZ4&lt;Вводные!$D$7,AZ9-AZ13,AZ9-AZ13+AZ15)</f>
        <v>0</v>
      </c>
      <c r="BA17" s="266">
        <f>IF(BA4&lt;Вводные!$D$7,BA9-BA13,BA9-BA13+BA15)</f>
        <v>0</v>
      </c>
      <c r="BB17" s="266">
        <f>IF(BB4&lt;Вводные!$D$7,BB9-BB13,BB9-BB13+BB15)</f>
        <v>0</v>
      </c>
    </row>
    <row r="18" spans="2:54" x14ac:dyDescent="0.2">
      <c r="B18" s="2" t="s">
        <v>203</v>
      </c>
      <c r="D18" s="111">
        <f>IRR(D17:BB17)</f>
        <v>0.1449999999999998</v>
      </c>
    </row>
    <row r="19" spans="2:54" x14ac:dyDescent="0.2">
      <c r="B19" s="2" t="s">
        <v>204</v>
      </c>
      <c r="D19" s="61">
        <f>SUM(D17:BB17)</f>
        <v>37662926.310282603</v>
      </c>
      <c r="E19" s="61"/>
    </row>
    <row r="20" spans="2:54" s="13" customFormat="1" ht="12" customHeight="1" x14ac:dyDescent="0.2"/>
    <row r="21" spans="2:54" x14ac:dyDescent="0.2"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</row>
    <row r="22" spans="2:54" x14ac:dyDescent="0.2">
      <c r="D22" s="13"/>
      <c r="E22" s="13"/>
    </row>
    <row r="23" spans="2:54" x14ac:dyDescent="0.2">
      <c r="D23" s="13"/>
      <c r="E23" s="156"/>
    </row>
    <row r="24" spans="2:54" x14ac:dyDescent="0.2">
      <c r="I24" s="13"/>
    </row>
    <row r="26" spans="2:54" x14ac:dyDescent="0.2"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</row>
    <row r="27" spans="2:54" x14ac:dyDescent="0.2">
      <c r="D27" s="219"/>
      <c r="F27" s="113"/>
    </row>
    <row r="28" spans="2:54" x14ac:dyDescent="0.2">
      <c r="D28" s="219"/>
      <c r="E28" s="119"/>
      <c r="F28" s="13"/>
    </row>
    <row r="29" spans="2:54" x14ac:dyDescent="0.2">
      <c r="D29" s="219"/>
      <c r="F29" s="13"/>
      <c r="H29" s="13"/>
    </row>
    <row r="30" spans="2:54" x14ac:dyDescent="0.2">
      <c r="D30" s="156"/>
      <c r="E30" s="119"/>
    </row>
    <row r="31" spans="2:54" x14ac:dyDescent="0.2">
      <c r="D31" s="37"/>
      <c r="E31" s="64"/>
    </row>
    <row r="32" spans="2:54" x14ac:dyDescent="0.2"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</row>
    <row r="33" spans="4:54" x14ac:dyDescent="0.2">
      <c r="D33" s="219"/>
      <c r="F33" s="13"/>
    </row>
    <row r="34" spans="4:54" x14ac:dyDescent="0.2">
      <c r="D34" s="119"/>
    </row>
    <row r="35" spans="4:54" x14ac:dyDescent="0.2">
      <c r="D35" s="219"/>
    </row>
    <row r="38" spans="4:54" x14ac:dyDescent="0.2">
      <c r="D38" s="61"/>
      <c r="E38" s="61"/>
      <c r="F38" s="61"/>
      <c r="G38" s="13"/>
    </row>
    <row r="39" spans="4:54" x14ac:dyDescent="0.2">
      <c r="D39" s="61"/>
      <c r="E39" s="61"/>
      <c r="F39" s="61"/>
      <c r="G39" s="61"/>
      <c r="H39" s="61"/>
    </row>
    <row r="40" spans="4:54" x14ac:dyDescent="0.2">
      <c r="D40" s="61"/>
      <c r="E40" s="61"/>
      <c r="F40" s="61"/>
      <c r="G40" s="61"/>
    </row>
    <row r="41" spans="4:54" x14ac:dyDescent="0.2">
      <c r="D41" s="61"/>
      <c r="E41" s="61"/>
      <c r="F41" s="61"/>
      <c r="G41" s="61"/>
    </row>
    <row r="42" spans="4:54" x14ac:dyDescent="0.2">
      <c r="D42" s="61"/>
      <c r="E42" s="61"/>
      <c r="F42" s="61"/>
      <c r="G42" s="13"/>
    </row>
    <row r="43" spans="4:54" x14ac:dyDescent="0.2">
      <c r="D43" s="64"/>
      <c r="G43" s="13"/>
    </row>
    <row r="44" spans="4:54" x14ac:dyDescent="0.2"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</row>
  </sheetData>
  <conditionalFormatting sqref="A5:XFD8">
    <cfRule type="expression" dxfId="9" priority="1">
      <formula>$B$2="Сценарий накопления"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DC18880-BE57-410E-AEEB-209C571A53B7}">
            <xm:f>Вводные!$B$41="Сценарий накопления"</xm:f>
            <x14:dxf>
              <font>
                <strike/>
                <color theme="2"/>
              </font>
              <fill>
                <patternFill>
                  <bgColor theme="0"/>
                </patternFill>
              </fill>
            </x14:dxf>
          </x14:cfRule>
          <xm:sqref>A5:XFD8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F14C5-E5D4-4D2A-97EF-F055A23AE1B6}">
  <sheetPr codeName="Лист6">
    <tabColor theme="0" tint="-0.14999847407452621"/>
  </sheetPr>
  <dimension ref="A2:BB93"/>
  <sheetViews>
    <sheetView showGridLines="0" zoomScaleNormal="100" workbookViewId="0">
      <pane xSplit="2" ySplit="4" topLeftCell="C20" activePane="bottomRight" state="frozen"/>
      <selection activeCell="B13" sqref="B13"/>
      <selection pane="topRight" activeCell="B13" sqref="B13"/>
      <selection pane="bottomLeft" activeCell="B13" sqref="B13"/>
      <selection pane="bottomRight" activeCell="H53" sqref="H53"/>
    </sheetView>
  </sheetViews>
  <sheetFormatPr defaultColWidth="9.140625" defaultRowHeight="12.75" x14ac:dyDescent="0.2"/>
  <cols>
    <col min="1" max="1" width="9.140625" style="2"/>
    <col min="2" max="2" width="26.42578125" style="2" customWidth="1"/>
    <col min="3" max="3" width="10" style="2" bestFit="1" customWidth="1"/>
    <col min="4" max="4" width="17.28515625" style="2" bestFit="1" customWidth="1"/>
    <col min="5" max="54" width="15.5703125" style="2" customWidth="1"/>
    <col min="55" max="16384" width="9.140625" style="2"/>
  </cols>
  <sheetData>
    <row r="2" spans="1:54" x14ac:dyDescent="0.2">
      <c r="B2" s="89" t="s">
        <v>127</v>
      </c>
      <c r="C2" s="90"/>
      <c r="D2" s="90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</row>
    <row r="4" spans="1:54" x14ac:dyDescent="0.2">
      <c r="A4" s="92">
        <v>12</v>
      </c>
      <c r="B4" s="93" t="s">
        <v>121</v>
      </c>
      <c r="C4" s="94"/>
      <c r="D4" s="93">
        <v>0</v>
      </c>
      <c r="E4" s="93">
        <v>1</v>
      </c>
      <c r="F4" s="93">
        <v>2</v>
      </c>
      <c r="G4" s="93">
        <v>3</v>
      </c>
      <c r="H4" s="93">
        <v>4</v>
      </c>
      <c r="I4" s="93">
        <v>5</v>
      </c>
      <c r="J4" s="93">
        <v>6</v>
      </c>
      <c r="K4" s="93">
        <v>7</v>
      </c>
      <c r="L4" s="93">
        <v>8</v>
      </c>
      <c r="M4" s="93">
        <v>9</v>
      </c>
      <c r="N4" s="93">
        <v>10</v>
      </c>
      <c r="O4" s="93">
        <v>11</v>
      </c>
      <c r="P4" s="93">
        <v>12</v>
      </c>
      <c r="Q4" s="93">
        <v>13</v>
      </c>
      <c r="R4" s="93">
        <v>14</v>
      </c>
      <c r="S4" s="93">
        <v>15</v>
      </c>
      <c r="T4" s="93">
        <v>16</v>
      </c>
      <c r="U4" s="93">
        <v>17</v>
      </c>
      <c r="V4" s="93">
        <v>18</v>
      </c>
      <c r="W4" s="93">
        <v>19</v>
      </c>
      <c r="X4" s="93">
        <v>20</v>
      </c>
      <c r="Y4" s="93">
        <v>21</v>
      </c>
      <c r="Z4" s="93">
        <v>22</v>
      </c>
      <c r="AA4" s="93">
        <v>23</v>
      </c>
      <c r="AB4" s="93">
        <v>24</v>
      </c>
      <c r="AC4" s="93">
        <v>25</v>
      </c>
      <c r="AD4" s="93">
        <v>26</v>
      </c>
      <c r="AE4" s="93">
        <v>27</v>
      </c>
      <c r="AF4" s="93">
        <v>28</v>
      </c>
      <c r="AG4" s="93">
        <v>29</v>
      </c>
      <c r="AH4" s="93">
        <v>30</v>
      </c>
      <c r="AI4" s="93">
        <v>31</v>
      </c>
      <c r="AJ4" s="93">
        <v>32</v>
      </c>
      <c r="AK4" s="93">
        <v>33</v>
      </c>
      <c r="AL4" s="93">
        <v>34</v>
      </c>
      <c r="AM4" s="93">
        <v>35</v>
      </c>
      <c r="AN4" s="93">
        <v>36</v>
      </c>
      <c r="AO4" s="93">
        <v>37</v>
      </c>
      <c r="AP4" s="93">
        <v>38</v>
      </c>
      <c r="AQ4" s="93">
        <v>39</v>
      </c>
      <c r="AR4" s="93">
        <v>40</v>
      </c>
      <c r="AS4" s="93">
        <v>41</v>
      </c>
      <c r="AT4" s="93">
        <v>42</v>
      </c>
      <c r="AU4" s="93">
        <v>43</v>
      </c>
      <c r="AV4" s="93">
        <v>44</v>
      </c>
      <c r="AW4" s="93">
        <v>45</v>
      </c>
      <c r="AX4" s="93">
        <v>46</v>
      </c>
      <c r="AY4" s="93">
        <v>47</v>
      </c>
      <c r="AZ4" s="93">
        <v>48</v>
      </c>
      <c r="BA4" s="93">
        <v>49</v>
      </c>
      <c r="BB4" s="93">
        <v>50</v>
      </c>
    </row>
    <row r="5" spans="1:54" x14ac:dyDescent="0.2">
      <c r="B5" s="2" t="s">
        <v>128</v>
      </c>
      <c r="E5" s="102">
        <f>VLOOKUP(E93,Ипотека!$B$10:$S$612,17)</f>
        <v>-177704.2435434995</v>
      </c>
      <c r="F5" s="102">
        <f>VLOOKUP(F93,Ипотека!$B$10:$S$612,17)</f>
        <v>-200241.58958548261</v>
      </c>
      <c r="G5" s="102">
        <f>VLOOKUP(G93,Ипотека!$B$10:$S$612,17)</f>
        <v>-225637.23521833468</v>
      </c>
      <c r="H5" s="102">
        <f>VLOOKUP(H93,Ипотека!$B$10:$S$612,17)</f>
        <v>-254253.68437379433</v>
      </c>
      <c r="I5" s="102">
        <f>VLOOKUP(I93,Ипотека!$B$10:$S$612,17)</f>
        <v>-286499.4155556648</v>
      </c>
      <c r="J5" s="102">
        <f>VLOOKUP(J93,Ипотека!$B$10:$S$612,17)</f>
        <v>-322834.71256630379</v>
      </c>
      <c r="K5" s="102">
        <f>VLOOKUP(K93,Ипотека!$B$10:$S$612,17)</f>
        <v>-363778.23471517075</v>
      </c>
      <c r="L5" s="102">
        <f>VLOOKUP(L93,Ипотека!$B$10:$S$612,17)</f>
        <v>-409914.4202942769</v>
      </c>
      <c r="M5" s="102">
        <f>VLOOKUP(M93,Ипотека!$B$10:$S$612,17)</f>
        <v>-461901.82899962738</v>
      </c>
      <c r="N5" s="102">
        <f>VLOOKUP(N93,Ипотека!$B$10:$S$612,17)</f>
        <v>-520482.54238051694</v>
      </c>
      <c r="O5" s="102">
        <f>VLOOKUP(O93,Ипотека!$B$10:$S$612,17)</f>
        <v>-586492.75650109013</v>
      </c>
      <c r="P5" s="102">
        <f>VLOOKUP(P93,Ипотека!$B$10:$S$612,17)</f>
        <v>-660874.71801652282</v>
      </c>
      <c r="Q5" s="102">
        <f>VLOOKUP(Q93,Ипотека!$B$10:$S$612,17)</f>
        <v>-744690.17404242512</v>
      </c>
      <c r="R5" s="102">
        <f>VLOOKUP(R93,Ипотека!$B$10:$S$612,17)</f>
        <v>-839135.52780433721</v>
      </c>
      <c r="S5" s="102">
        <f>VLOOKUP(S93,Ипотека!$B$10:$S$612,17)</f>
        <v>-945558.91640292853</v>
      </c>
      <c r="T5" s="102">
        <f>VLOOKUP(T93,Ипотека!$B$10:$S$612,17)</f>
        <v>0</v>
      </c>
      <c r="U5" s="102">
        <f>VLOOKUP(U93,Ипотека!$B$10:$S$612,17)</f>
        <v>0</v>
      </c>
      <c r="V5" s="102">
        <f>VLOOKUP(V93,Ипотека!$B$10:$S$612,17)</f>
        <v>0</v>
      </c>
      <c r="W5" s="102">
        <f>VLOOKUP(W93,Ипотека!$B$10:$S$612,17)</f>
        <v>0</v>
      </c>
      <c r="X5" s="102">
        <f>VLOOKUP(X93,Ипотека!$B$10:$S$612,17)</f>
        <v>0</v>
      </c>
      <c r="Y5" s="102">
        <f>VLOOKUP(Y93,Ипотека!$B$10:$S$612,17)</f>
        <v>0</v>
      </c>
      <c r="Z5" s="102">
        <f>VLOOKUP(Z93,Ипотека!$B$10:$S$612,17)</f>
        <v>0</v>
      </c>
      <c r="AA5" s="102">
        <f>VLOOKUP(AA93,Ипотека!$B$10:$S$612,17)</f>
        <v>0</v>
      </c>
      <c r="AB5" s="102">
        <f>VLOOKUP(AB93,Ипотека!$B$10:$S$612,17)</f>
        <v>0</v>
      </c>
      <c r="AC5" s="102">
        <f>VLOOKUP(AC93,Ипотека!$B$10:$S$612,17)</f>
        <v>0</v>
      </c>
      <c r="AD5" s="102">
        <f>VLOOKUP(AD93,Ипотека!$B$10:$S$612,17)</f>
        <v>0</v>
      </c>
      <c r="AE5" s="102">
        <f>VLOOKUP(AE93,Ипотека!$B$10:$S$612,17)</f>
        <v>0</v>
      </c>
      <c r="AF5" s="102">
        <f>VLOOKUP(AF93,Ипотека!$B$10:$S$612,17)</f>
        <v>0</v>
      </c>
      <c r="AG5" s="102">
        <f>VLOOKUP(AG93,Ипотека!$B$10:$S$612,17)</f>
        <v>0</v>
      </c>
      <c r="AH5" s="102">
        <f>VLOOKUP(AH93,Ипотека!$B$10:$S$612,17)</f>
        <v>0</v>
      </c>
      <c r="AI5" s="102">
        <f>VLOOKUP(AI93,Ипотека!$B$10:$S$612,17)</f>
        <v>0</v>
      </c>
      <c r="AJ5" s="102">
        <f>VLOOKUP(AJ93,Ипотека!$B$10:$S$612,17)</f>
        <v>0</v>
      </c>
      <c r="AK5" s="102">
        <f>VLOOKUP(AK93,Ипотека!$B$10:$S$612,17)</f>
        <v>0</v>
      </c>
      <c r="AL5" s="102">
        <f>VLOOKUP(AL93,Ипотека!$B$10:$S$612,17)</f>
        <v>0</v>
      </c>
      <c r="AM5" s="102">
        <f>VLOOKUP(AM93,Ипотека!$B$10:$S$612,17)</f>
        <v>0</v>
      </c>
      <c r="AN5" s="102">
        <f>VLOOKUP(AN93,Ипотека!$B$10:$S$612,17)</f>
        <v>0</v>
      </c>
      <c r="AO5" s="102">
        <f>VLOOKUP(AO93,Ипотека!$B$10:$S$612,17)</f>
        <v>0</v>
      </c>
      <c r="AP5" s="102">
        <f>VLOOKUP(AP93,Ипотека!$B$10:$S$612,17)</f>
        <v>0</v>
      </c>
      <c r="AQ5" s="102">
        <f>VLOOKUP(AQ93,Ипотека!$B$10:$S$612,17)</f>
        <v>0</v>
      </c>
      <c r="AR5" s="102">
        <f>VLOOKUP(AR93,Ипотека!$B$10:$S$612,17)</f>
        <v>0</v>
      </c>
      <c r="AS5" s="102">
        <f>VLOOKUP(AS93,Ипотека!$B$10:$S$612,17)</f>
        <v>0</v>
      </c>
      <c r="AT5" s="102">
        <f>VLOOKUP(AT93,Ипотека!$B$10:$S$612,17)</f>
        <v>0</v>
      </c>
      <c r="AU5" s="102">
        <f>VLOOKUP(AU93,Ипотека!$B$10:$S$612,17)</f>
        <v>0</v>
      </c>
      <c r="AV5" s="102">
        <f>VLOOKUP(AV93,Ипотека!$B$10:$S$612,17)</f>
        <v>0</v>
      </c>
      <c r="AW5" s="102">
        <f>VLOOKUP(AW93,Ипотека!$B$10:$S$612,17)</f>
        <v>0</v>
      </c>
      <c r="AX5" s="102">
        <f>VLOOKUP(AX93,Ипотека!$B$10:$S$612,17)</f>
        <v>0</v>
      </c>
      <c r="AY5" s="102">
        <f>VLOOKUP(AY93,Ипотека!$B$10:$S$612,17)</f>
        <v>0</v>
      </c>
      <c r="AZ5" s="102">
        <f>VLOOKUP(AZ93,Ипотека!$B$10:$S$612,17)</f>
        <v>0</v>
      </c>
      <c r="BA5" s="102">
        <f>VLOOKUP(BA93,Ипотека!$B$10:$S$612,17)</f>
        <v>0</v>
      </c>
      <c r="BB5" s="102">
        <f>VLOOKUP(BB93,Ипотека!$B$10:$S$612,17)</f>
        <v>0</v>
      </c>
    </row>
    <row r="6" spans="1:54" x14ac:dyDescent="0.2">
      <c r="B6" s="2" t="s">
        <v>129</v>
      </c>
      <c r="E6" s="102">
        <f>VLOOKUP(E93,Ипотека!$B$10:$S$612,18)</f>
        <v>-830436.92861337215</v>
      </c>
      <c r="F6" s="102">
        <f>VLOOKUP(F93,Ипотека!$B$10:$S$612,18)</f>
        <v>-807899.58257138904</v>
      </c>
      <c r="G6" s="102">
        <f>VLOOKUP(G93,Ипотека!$B$10:$S$612,18)</f>
        <v>-782503.93693853694</v>
      </c>
      <c r="H6" s="102">
        <f>VLOOKUP(H93,Ипотека!$B$10:$S$612,18)</f>
        <v>-753887.48778307729</v>
      </c>
      <c r="I6" s="102">
        <f>VLOOKUP(I93,Ипотека!$B$10:$S$612,18)</f>
        <v>-721641.75660120684</v>
      </c>
      <c r="J6" s="102">
        <f>VLOOKUP(J93,Ипотека!$B$10:$S$612,18)</f>
        <v>-685306.45959056809</v>
      </c>
      <c r="K6" s="102">
        <f>VLOOKUP(K93,Ипотека!$B$10:$S$612,18)</f>
        <v>-644362.93744170084</v>
      </c>
      <c r="L6" s="102">
        <f>VLOOKUP(L93,Ипотека!$B$10:$S$612,18)</f>
        <v>-598226.75186259474</v>
      </c>
      <c r="M6" s="102">
        <f>VLOOKUP(M93,Ипотека!$B$10:$S$612,18)</f>
        <v>-546239.34315724415</v>
      </c>
      <c r="N6" s="102">
        <f>VLOOKUP(N93,Ипотека!$B$10:$S$612,18)</f>
        <v>-487658.62977635453</v>
      </c>
      <c r="O6" s="102">
        <f>VLOOKUP(O93,Ипотека!$B$10:$S$612,18)</f>
        <v>-421648.41565578157</v>
      </c>
      <c r="P6" s="102">
        <f>VLOOKUP(P93,Ипотека!$B$10:$S$612,18)</f>
        <v>-347266.45414034894</v>
      </c>
      <c r="Q6" s="102">
        <f>VLOOKUP(Q93,Ипотека!$B$10:$S$612,18)</f>
        <v>-263450.99811444659</v>
      </c>
      <c r="R6" s="102">
        <f>VLOOKUP(R93,Ипотека!$B$10:$S$612,18)</f>
        <v>-169005.64435253438</v>
      </c>
      <c r="S6" s="102">
        <f>VLOOKUP(S93,Ипотека!$B$10:$S$612,18)</f>
        <v>-62582.255753942991</v>
      </c>
      <c r="T6" s="102">
        <f>VLOOKUP(T93,Ипотека!$B$10:$S$612,18)</f>
        <v>0</v>
      </c>
      <c r="U6" s="102">
        <f>VLOOKUP(U93,Ипотека!$B$10:$S$612,18)</f>
        <v>0</v>
      </c>
      <c r="V6" s="102">
        <f>VLOOKUP(V93,Ипотека!$B$10:$S$612,18)</f>
        <v>0</v>
      </c>
      <c r="W6" s="102">
        <f>VLOOKUP(W93,Ипотека!$B$10:$S$612,18)</f>
        <v>0</v>
      </c>
      <c r="X6" s="102">
        <f>VLOOKUP(X93,Ипотека!$B$10:$S$612,18)</f>
        <v>0</v>
      </c>
      <c r="Y6" s="102">
        <f>VLOOKUP(Y93,Ипотека!$B$10:$S$612,18)</f>
        <v>0</v>
      </c>
      <c r="Z6" s="102">
        <f>VLOOKUP(Z93,Ипотека!$B$10:$S$612,18)</f>
        <v>0</v>
      </c>
      <c r="AA6" s="102">
        <f>VLOOKUP(AA93,Ипотека!$B$10:$S$612,18)</f>
        <v>0</v>
      </c>
      <c r="AB6" s="102">
        <f>VLOOKUP(AB93,Ипотека!$B$10:$S$612,18)</f>
        <v>0</v>
      </c>
      <c r="AC6" s="102">
        <f>VLOOKUP(AC93,Ипотека!$B$10:$S$612,18)</f>
        <v>0</v>
      </c>
      <c r="AD6" s="102">
        <f>VLOOKUP(AD93,Ипотека!$B$10:$S$612,18)</f>
        <v>0</v>
      </c>
      <c r="AE6" s="102">
        <f>VLOOKUP(AE93,Ипотека!$B$10:$S$612,18)</f>
        <v>0</v>
      </c>
      <c r="AF6" s="102">
        <f>VLOOKUP(AF93,Ипотека!$B$10:$S$612,18)</f>
        <v>0</v>
      </c>
      <c r="AG6" s="102">
        <f>VLOOKUP(AG93,Ипотека!$B$10:$S$612,18)</f>
        <v>0</v>
      </c>
      <c r="AH6" s="102">
        <f>VLOOKUP(AH93,Ипотека!$B$10:$S$612,18)</f>
        <v>0</v>
      </c>
      <c r="AI6" s="102">
        <f>VLOOKUP(AI93,Ипотека!$B$10:$S$612,18)</f>
        <v>0</v>
      </c>
      <c r="AJ6" s="102">
        <f>VLOOKUP(AJ93,Ипотека!$B$10:$S$612,18)</f>
        <v>0</v>
      </c>
      <c r="AK6" s="102">
        <f>VLOOKUP(AK93,Ипотека!$B$10:$S$612,18)</f>
        <v>0</v>
      </c>
      <c r="AL6" s="102">
        <f>VLOOKUP(AL93,Ипотека!$B$10:$S$612,18)</f>
        <v>0</v>
      </c>
      <c r="AM6" s="102">
        <f>VLOOKUP(AM93,Ипотека!$B$10:$S$612,18)</f>
        <v>0</v>
      </c>
      <c r="AN6" s="102">
        <f>VLOOKUP(AN93,Ипотека!$B$10:$S$612,18)</f>
        <v>0</v>
      </c>
      <c r="AO6" s="102">
        <f>VLOOKUP(AO93,Ипотека!$B$10:$S$612,18)</f>
        <v>0</v>
      </c>
      <c r="AP6" s="102">
        <f>VLOOKUP(AP93,Ипотека!$B$10:$S$612,18)</f>
        <v>0</v>
      </c>
      <c r="AQ6" s="102">
        <f>VLOOKUP(AQ93,Ипотека!$B$10:$S$612,18)</f>
        <v>0</v>
      </c>
      <c r="AR6" s="102">
        <f>VLOOKUP(AR93,Ипотека!$B$10:$S$612,18)</f>
        <v>0</v>
      </c>
      <c r="AS6" s="102">
        <f>VLOOKUP(AS93,Ипотека!$B$10:$S$612,18)</f>
        <v>0</v>
      </c>
      <c r="AT6" s="102">
        <f>VLOOKUP(AT93,Ипотека!$B$10:$S$612,18)</f>
        <v>0</v>
      </c>
      <c r="AU6" s="102">
        <f>VLOOKUP(AU93,Ипотека!$B$10:$S$612,18)</f>
        <v>0</v>
      </c>
      <c r="AV6" s="102">
        <f>VLOOKUP(AV93,Ипотека!$B$10:$S$612,18)</f>
        <v>0</v>
      </c>
      <c r="AW6" s="102">
        <f>VLOOKUP(AW93,Ипотека!$B$10:$S$612,18)</f>
        <v>0</v>
      </c>
      <c r="AX6" s="102">
        <f>VLOOKUP(AX93,Ипотека!$B$10:$S$612,18)</f>
        <v>0</v>
      </c>
      <c r="AY6" s="102">
        <f>VLOOKUP(AY93,Ипотека!$B$10:$S$612,18)</f>
        <v>0</v>
      </c>
      <c r="AZ6" s="102">
        <f>VLOOKUP(AZ93,Ипотека!$B$10:$S$612,18)</f>
        <v>0</v>
      </c>
      <c r="BA6" s="102">
        <f>VLOOKUP(BA93,Ипотека!$B$10:$S$612,18)</f>
        <v>0</v>
      </c>
      <c r="BB6" s="102">
        <f>VLOOKUP(BB93,Ипотека!$B$10:$S$612,18)</f>
        <v>0</v>
      </c>
    </row>
    <row r="7" spans="1:54" s="96" customFormat="1" x14ac:dyDescent="0.2">
      <c r="B7" s="62" t="s">
        <v>130</v>
      </c>
      <c r="C7" s="62"/>
      <c r="D7" s="62"/>
      <c r="E7" s="98">
        <f>IF(Вводные!$D$11="Да",E5+E6,0)</f>
        <v>-1008141.1721568716</v>
      </c>
      <c r="F7" s="98">
        <f>IF(Вводные!$D$11="Да",F5+F6,0)</f>
        <v>-1008141.1721568716</v>
      </c>
      <c r="G7" s="98">
        <f>IF(Вводные!$D$11="Да",G5+G6,0)</f>
        <v>-1008141.1721568716</v>
      </c>
      <c r="H7" s="98">
        <f>IF(Вводные!$D$11="Да",H5+H6,0)</f>
        <v>-1008141.1721568716</v>
      </c>
      <c r="I7" s="98">
        <f>IF(Вводные!$D$11="Да",I5+I6,0)</f>
        <v>-1008141.1721568716</v>
      </c>
      <c r="J7" s="98">
        <f>IF(Вводные!$D$11="Да",J5+J6,0)</f>
        <v>-1008141.1721568719</v>
      </c>
      <c r="K7" s="98">
        <f>IF(Вводные!$D$11="Да",K5+K6,0)</f>
        <v>-1008141.1721568715</v>
      </c>
      <c r="L7" s="98">
        <f>IF(Вводные!$D$11="Да",L5+L6,0)</f>
        <v>-1008141.1721568716</v>
      </c>
      <c r="M7" s="98">
        <f>IF(Вводные!$D$11="Да",M5+M6,0)</f>
        <v>-1008141.1721568715</v>
      </c>
      <c r="N7" s="98">
        <f>IF(Вводные!$D$11="Да",N5+N6,0)</f>
        <v>-1008141.1721568715</v>
      </c>
      <c r="O7" s="98">
        <f>IF(Вводные!$D$11="Да",O5+O6,0)</f>
        <v>-1008141.1721568718</v>
      </c>
      <c r="P7" s="98">
        <f>IF(Вводные!$D$11="Да",P5+P6,0)</f>
        <v>-1008141.1721568718</v>
      </c>
      <c r="Q7" s="98">
        <f>IF(Вводные!$D$11="Да",Q5+Q6,0)</f>
        <v>-1008141.1721568718</v>
      </c>
      <c r="R7" s="98">
        <f>IF(Вводные!$D$11="Да",R5+R6,0)</f>
        <v>-1008141.1721568715</v>
      </c>
      <c r="S7" s="98">
        <f>IF(Вводные!$D$11="Да",S5+S6,0)</f>
        <v>-1008141.1721568715</v>
      </c>
      <c r="T7" s="98">
        <f>IF(Вводные!$D$11="Да",T5+T6,0)</f>
        <v>0</v>
      </c>
      <c r="U7" s="98">
        <f>IF(Вводные!$D$11="Да",U5+U6,0)</f>
        <v>0</v>
      </c>
      <c r="V7" s="98">
        <f>IF(Вводные!$D$11="Да",V5+V6,0)</f>
        <v>0</v>
      </c>
      <c r="W7" s="98">
        <f>IF(Вводные!$D$11="Да",W5+W6,0)</f>
        <v>0</v>
      </c>
      <c r="X7" s="98">
        <f>IF(Вводные!$D$11="Да",X5+X6,0)</f>
        <v>0</v>
      </c>
      <c r="Y7" s="98">
        <f>IF(Вводные!$D$11="Да",Y5+Y6,0)</f>
        <v>0</v>
      </c>
      <c r="Z7" s="98">
        <f>IF(Вводные!$D$11="Да",Z5+Z6,0)</f>
        <v>0</v>
      </c>
      <c r="AA7" s="98">
        <f>IF(Вводные!$D$11="Да",AA5+AA6,0)</f>
        <v>0</v>
      </c>
      <c r="AB7" s="98">
        <f>IF(Вводные!$D$11="Да",AB5+AB6,0)</f>
        <v>0</v>
      </c>
      <c r="AC7" s="98">
        <f>IF(Вводные!$D$11="Да",AC5+AC6,0)</f>
        <v>0</v>
      </c>
      <c r="AD7" s="98">
        <f>IF(Вводные!$D$11="Да",AD5+AD6,0)</f>
        <v>0</v>
      </c>
      <c r="AE7" s="98">
        <f>IF(Вводные!$D$11="Да",AE5+AE6,0)</f>
        <v>0</v>
      </c>
      <c r="AF7" s="98">
        <f>IF(Вводные!$D$11="Да",AF5+AF6,0)</f>
        <v>0</v>
      </c>
      <c r="AG7" s="98">
        <f>IF(Вводные!$D$11="Да",AG5+AG6,0)</f>
        <v>0</v>
      </c>
      <c r="AH7" s="98">
        <f>IF(Вводные!$D$11="Да",AH5+AH6,0)</f>
        <v>0</v>
      </c>
      <c r="AI7" s="98">
        <f>IF(Вводные!$D$11="Да",AI5+AI6,0)</f>
        <v>0</v>
      </c>
      <c r="AJ7" s="98">
        <f>IF(Вводные!$D$11="Да",AJ5+AJ6,0)</f>
        <v>0</v>
      </c>
      <c r="AK7" s="98">
        <f>IF(Вводные!$D$11="Да",AK5+AK6,0)</f>
        <v>0</v>
      </c>
      <c r="AL7" s="98">
        <f>IF(Вводные!$D$11="Да",AL5+AL6,0)</f>
        <v>0</v>
      </c>
      <c r="AM7" s="98">
        <f>IF(Вводные!$D$11="Да",AM5+AM6,0)</f>
        <v>0</v>
      </c>
      <c r="AN7" s="98">
        <f>IF(Вводные!$D$11="Да",AN5+AN6,0)</f>
        <v>0</v>
      </c>
      <c r="AO7" s="98">
        <f>IF(Вводные!$D$11="Да",AO5+AO6,0)</f>
        <v>0</v>
      </c>
      <c r="AP7" s="98">
        <f>IF(Вводные!$D$11="Да",AP5+AP6,0)</f>
        <v>0</v>
      </c>
      <c r="AQ7" s="98">
        <f>IF(Вводные!$D$11="Да",AQ5+AQ6,0)</f>
        <v>0</v>
      </c>
      <c r="AR7" s="98">
        <f>IF(Вводные!$D$11="Да",AR5+AR6,0)</f>
        <v>0</v>
      </c>
      <c r="AS7" s="98">
        <f>IF(Вводные!$D$11="Да",AS5+AS6,0)</f>
        <v>0</v>
      </c>
      <c r="AT7" s="98">
        <f>IF(Вводные!$D$11="Да",AT5+AT6,0)</f>
        <v>0</v>
      </c>
      <c r="AU7" s="98">
        <f>IF(Вводные!$D$11="Да",AU5+AU6,0)</f>
        <v>0</v>
      </c>
      <c r="AV7" s="98">
        <f>IF(Вводные!$D$11="Да",AV5+AV6,0)</f>
        <v>0</v>
      </c>
      <c r="AW7" s="98">
        <f>IF(Вводные!$D$11="Да",AW5+AW6,0)</f>
        <v>0</v>
      </c>
      <c r="AX7" s="98">
        <f>IF(Вводные!$D$11="Да",AX5+AX6,0)</f>
        <v>0</v>
      </c>
      <c r="AY7" s="98">
        <f>IF(Вводные!$D$11="Да",AY5+AY6,0)</f>
        <v>0</v>
      </c>
      <c r="AZ7" s="98">
        <f>IF(Вводные!$D$11="Да",AZ5+AZ6,0)</f>
        <v>0</v>
      </c>
      <c r="BA7" s="98">
        <f>IF(Вводные!$D$11="Да",BA5+BA6,0)</f>
        <v>0</v>
      </c>
      <c r="BB7" s="98">
        <f>IF(Вводные!$D$11="Да",BB5+BB6,0)</f>
        <v>0</v>
      </c>
    </row>
    <row r="8" spans="1:54" x14ac:dyDescent="0.2"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</row>
    <row r="9" spans="1:54" x14ac:dyDescent="0.2">
      <c r="B9" s="2" t="s">
        <v>131</v>
      </c>
      <c r="E9" s="13">
        <f>-E40*Вводные!$D$21</f>
        <v>-21800</v>
      </c>
      <c r="F9" s="13">
        <f>-F40*Вводные!$D$21</f>
        <v>-23762</v>
      </c>
      <c r="G9" s="13">
        <f>-G40*Вводные!$D$21</f>
        <v>-25900.580000000005</v>
      </c>
      <c r="H9" s="13">
        <f>-H40*Вводные!$D$21</f>
        <v>-28231.632200000007</v>
      </c>
      <c r="I9" s="13">
        <f>-I40*Вводные!$D$21</f>
        <v>-30772.479098000011</v>
      </c>
      <c r="J9" s="13">
        <f>-J40*Вводные!$D$21</f>
        <v>-33542.002216820016</v>
      </c>
      <c r="K9" s="13">
        <f>-K40*Вводные!$D$21</f>
        <v>-36560.782416333815</v>
      </c>
      <c r="L9" s="13">
        <f>-L40*Вводные!$D$21</f>
        <v>-39851.252833803861</v>
      </c>
      <c r="M9" s="13">
        <f>-M40*Вводные!$D$21</f>
        <v>-43437.865588846216</v>
      </c>
      <c r="N9" s="13">
        <f>-N40*Вводные!$D$21</f>
        <v>-47347.273491842374</v>
      </c>
      <c r="O9" s="13">
        <f>-O40*Вводные!$D$21</f>
        <v>-51608.528106108191</v>
      </c>
      <c r="P9" s="13">
        <f>-P40*Вводные!$D$21</f>
        <v>-56253.295635657931</v>
      </c>
      <c r="Q9" s="13">
        <f>-Q40*Вводные!$D$21</f>
        <v>-61316.092242867147</v>
      </c>
      <c r="R9" s="13">
        <f>-R40*Вводные!$D$21</f>
        <v>-66834.540544725198</v>
      </c>
      <c r="S9" s="13">
        <f>-S40*Вводные!$D$21</f>
        <v>-72849.649193750476</v>
      </c>
      <c r="T9" s="13">
        <f>-T40*Вводные!$D$21</f>
        <v>0</v>
      </c>
      <c r="U9" s="13">
        <f>-U40*Вводные!$D$21</f>
        <v>0</v>
      </c>
      <c r="V9" s="13">
        <f>-V40*Вводные!$D$21</f>
        <v>0</v>
      </c>
      <c r="W9" s="13">
        <f>-W40*Вводные!$D$21</f>
        <v>0</v>
      </c>
      <c r="X9" s="13">
        <f>-X40*Вводные!$D$21</f>
        <v>0</v>
      </c>
      <c r="Y9" s="13">
        <f>-Y40*Вводные!$D$21</f>
        <v>0</v>
      </c>
      <c r="Z9" s="13">
        <f>-Z40*Вводные!$D$21</f>
        <v>0</v>
      </c>
      <c r="AA9" s="13">
        <f>-AA40*Вводные!$D$21</f>
        <v>0</v>
      </c>
      <c r="AB9" s="13">
        <f>-AB40*Вводные!$D$21</f>
        <v>0</v>
      </c>
      <c r="AC9" s="13">
        <f>-AC40*Вводные!$D$21</f>
        <v>0</v>
      </c>
      <c r="AD9" s="13">
        <f>-AD40*Вводные!$D$21</f>
        <v>0</v>
      </c>
      <c r="AE9" s="13">
        <f>-AE40*Вводные!$D$21</f>
        <v>0</v>
      </c>
      <c r="AF9" s="13">
        <f>-AF40*Вводные!$D$21</f>
        <v>0</v>
      </c>
      <c r="AG9" s="13">
        <f>-AG40*Вводные!$D$21</f>
        <v>0</v>
      </c>
      <c r="AH9" s="13">
        <f>-AH40*Вводные!$D$21</f>
        <v>0</v>
      </c>
      <c r="AI9" s="13">
        <f>-AI40*Вводные!$D$21</f>
        <v>0</v>
      </c>
      <c r="AJ9" s="13">
        <f>-AJ40*Вводные!$D$21</f>
        <v>0</v>
      </c>
      <c r="AK9" s="13">
        <f>-AK40*Вводные!$D$21</f>
        <v>0</v>
      </c>
      <c r="AL9" s="13">
        <f>-AL40*Вводные!$D$21</f>
        <v>0</v>
      </c>
      <c r="AM9" s="13">
        <f>-AM40*Вводные!$D$21</f>
        <v>0</v>
      </c>
      <c r="AN9" s="13">
        <f>-AN40*Вводные!$D$21</f>
        <v>0</v>
      </c>
      <c r="AO9" s="13">
        <f>-AO40*Вводные!$D$21</f>
        <v>0</v>
      </c>
      <c r="AP9" s="13">
        <f>-AP40*Вводные!$D$21</f>
        <v>0</v>
      </c>
      <c r="AQ9" s="13">
        <f>-AQ40*Вводные!$D$21</f>
        <v>0</v>
      </c>
      <c r="AR9" s="13">
        <f>-AR40*Вводные!$D$21</f>
        <v>0</v>
      </c>
      <c r="AS9" s="13">
        <f>-AS40*Вводные!$D$21</f>
        <v>0</v>
      </c>
      <c r="AT9" s="13">
        <f>-AT40*Вводные!$D$21</f>
        <v>0</v>
      </c>
      <c r="AU9" s="13">
        <f>-AU40*Вводные!$D$21</f>
        <v>0</v>
      </c>
      <c r="AV9" s="13">
        <f>-AV40*Вводные!$D$21</f>
        <v>0</v>
      </c>
      <c r="AW9" s="13">
        <f>-AW40*Вводные!$D$21</f>
        <v>0</v>
      </c>
      <c r="AX9" s="13">
        <f>-AX40*Вводные!$D$21</f>
        <v>0</v>
      </c>
      <c r="AY9" s="13">
        <f>-AY40*Вводные!$D$21</f>
        <v>0</v>
      </c>
      <c r="AZ9" s="13">
        <f>-AZ40*Вводные!$D$21</f>
        <v>0</v>
      </c>
      <c r="BA9" s="13">
        <f>-BA40*Вводные!$D$21</f>
        <v>0</v>
      </c>
      <c r="BB9" s="13">
        <f>-BB40*Вводные!$D$21</f>
        <v>0</v>
      </c>
    </row>
    <row r="10" spans="1:54" x14ac:dyDescent="0.2">
      <c r="B10" s="2" t="s">
        <v>132</v>
      </c>
      <c r="E10" s="13">
        <f>IF(E4&gt;Вводные!$D$7,0,-Вводные!D22)</f>
        <v>-40000</v>
      </c>
      <c r="F10" s="13">
        <f>IF(F4&gt;Вводные!$D$7,0,E10*(1+Вводные!$D$23))</f>
        <v>-43200</v>
      </c>
      <c r="G10" s="13">
        <f>IF(G4&gt;Вводные!$D$7,0,F10*(1+Вводные!$D$23))</f>
        <v>-46656</v>
      </c>
      <c r="H10" s="13">
        <f>IF(H4&gt;Вводные!$D$7,0,G10*(1+Вводные!$D$23))</f>
        <v>-50388.480000000003</v>
      </c>
      <c r="I10" s="13">
        <f>IF(I4&gt;Вводные!$D$7,0,H10*(1+Вводные!$D$23))</f>
        <v>-54419.558400000009</v>
      </c>
      <c r="J10" s="13">
        <f>IF(J4&gt;Вводные!$D$7,0,I10*(1+Вводные!$D$23))</f>
        <v>-58773.123072000017</v>
      </c>
      <c r="K10" s="13">
        <f>IF(K4&gt;Вводные!$D$7,0,J10*(1+Вводные!$D$23))</f>
        <v>-63474.972917760024</v>
      </c>
      <c r="L10" s="13">
        <f>IF(L4&gt;Вводные!$D$7,0,K10*(1+Вводные!$D$23))</f>
        <v>-68552.970751180837</v>
      </c>
      <c r="M10" s="13">
        <f>IF(M4&gt;Вводные!$D$7,0,L10*(1+Вводные!$D$23))</f>
        <v>-74037.208411275307</v>
      </c>
      <c r="N10" s="13">
        <f>IF(N4&gt;Вводные!$D$7,0,M10*(1+Вводные!$D$23))</f>
        <v>-79960.185084177341</v>
      </c>
      <c r="O10" s="13">
        <f>IF(O4&gt;Вводные!$D$7,0,N10*(1+Вводные!$D$23))</f>
        <v>-86356.999890911538</v>
      </c>
      <c r="P10" s="13">
        <f>IF(P4&gt;Вводные!$D$7,0,O10*(1+Вводные!$D$23))</f>
        <v>-93265.559882184461</v>
      </c>
      <c r="Q10" s="13">
        <f>IF(Q4&gt;Вводные!$D$7,0,P10*(1+Вводные!$D$23))</f>
        <v>-100726.80467275923</v>
      </c>
      <c r="R10" s="13">
        <f>IF(R4&gt;Вводные!$D$7,0,Q10*(1+Вводные!$D$23))</f>
        <v>-108784.94904657998</v>
      </c>
      <c r="S10" s="13">
        <f>IF(S4&gt;Вводные!$D$7,0,R10*(1+Вводные!$D$23))</f>
        <v>-117487.74497030638</v>
      </c>
      <c r="T10" s="13">
        <f>IF(T4&gt;Вводные!$D$7,0,S10*(1+Вводные!$D$23))</f>
        <v>0</v>
      </c>
      <c r="U10" s="13">
        <f>IF(U4&gt;Вводные!$D$7,0,T10*(1+Вводные!$D$23))</f>
        <v>0</v>
      </c>
      <c r="V10" s="13">
        <f>IF(V4&gt;Вводные!$D$7,0,U10*(1+Вводные!$D$23))</f>
        <v>0</v>
      </c>
      <c r="W10" s="13">
        <f>IF(W4&gt;Вводные!$D$7,0,V10*(1+Вводные!$D$23))</f>
        <v>0</v>
      </c>
      <c r="X10" s="13">
        <f>IF(X4&gt;Вводные!$D$7,0,W10*(1+Вводные!$D$23))</f>
        <v>0</v>
      </c>
      <c r="Y10" s="13">
        <f>IF(Y4&gt;Вводные!$D$7,0,X10*(1+Вводные!$D$23))</f>
        <v>0</v>
      </c>
      <c r="Z10" s="13">
        <f>IF(Z4&gt;Вводные!$D$7,0,Y10*(1+Вводные!$D$23))</f>
        <v>0</v>
      </c>
      <c r="AA10" s="13">
        <f>IF(AA4&gt;Вводные!$D$7,0,Z10*(1+Вводные!$D$23))</f>
        <v>0</v>
      </c>
      <c r="AB10" s="13">
        <f>IF(AB4&gt;Вводные!$D$7,0,AA10*(1+Вводные!$D$23))</f>
        <v>0</v>
      </c>
      <c r="AC10" s="13">
        <f>IF(AC4&gt;Вводные!$D$7,0,AB10*(1+Вводные!$D$23))</f>
        <v>0</v>
      </c>
      <c r="AD10" s="13">
        <f>IF(AD4&gt;Вводные!$D$7,0,AC10*(1+Вводные!$D$23))</f>
        <v>0</v>
      </c>
      <c r="AE10" s="13">
        <f>IF(AE4&gt;Вводные!$D$7,0,AD10*(1+Вводные!$D$23))</f>
        <v>0</v>
      </c>
      <c r="AF10" s="13">
        <f>IF(AF4&gt;Вводные!$D$7,0,AE10*(1+Вводные!$D$23))</f>
        <v>0</v>
      </c>
      <c r="AG10" s="13">
        <f>IF(AG4&gt;Вводные!$D$7,0,AF10*(1+Вводные!$D$23))</f>
        <v>0</v>
      </c>
      <c r="AH10" s="13">
        <f>IF(AH4&gt;Вводные!$D$7,0,AG10*(1+Вводные!$D$23))</f>
        <v>0</v>
      </c>
      <c r="AI10" s="13">
        <f>IF(AI4&gt;Вводные!$D$7,0,AH10*(1+Вводные!$D$23))</f>
        <v>0</v>
      </c>
      <c r="AJ10" s="13">
        <f>IF(AJ4&gt;Вводные!$D$7,0,AI10*(1+Вводные!$D$23))</f>
        <v>0</v>
      </c>
      <c r="AK10" s="13">
        <f>IF(AK4&gt;Вводные!$D$7,0,AJ10*(1+Вводные!$D$23))</f>
        <v>0</v>
      </c>
      <c r="AL10" s="13">
        <f>IF(AL4&gt;Вводные!$D$7,0,AK10*(1+Вводные!$D$23))</f>
        <v>0</v>
      </c>
      <c r="AM10" s="13">
        <f>IF(AM4&gt;Вводные!$D$7,0,AL10*(1+Вводные!$D$23))</f>
        <v>0</v>
      </c>
      <c r="AN10" s="13">
        <f>IF(AN4&gt;Вводные!$D$7,0,AM10*(1+Вводные!$D$23))</f>
        <v>0</v>
      </c>
      <c r="AO10" s="13">
        <f>IF(AO4&gt;Вводные!$D$7,0,AN10*(1+Вводные!$D$23))</f>
        <v>0</v>
      </c>
      <c r="AP10" s="13">
        <f>IF(AP4&gt;Вводные!$D$7,0,AO10*(1+Вводные!$D$23))</f>
        <v>0</v>
      </c>
      <c r="AQ10" s="13">
        <f>IF(AQ4&gt;Вводные!$D$7,0,AP10*(1+Вводные!$D$23))</f>
        <v>0</v>
      </c>
      <c r="AR10" s="13">
        <f>IF(AR4&gt;Вводные!$D$7,0,AQ10*(1+Вводные!$D$23))</f>
        <v>0</v>
      </c>
      <c r="AS10" s="13">
        <f>IF(AS4&gt;Вводные!$D$7,0,AR10*(1+Вводные!$D$23))</f>
        <v>0</v>
      </c>
      <c r="AT10" s="13">
        <f>IF(AT4&gt;Вводные!$D$7,0,AS10*(1+Вводные!$D$23))</f>
        <v>0</v>
      </c>
      <c r="AU10" s="13">
        <f>IF(AU4&gt;Вводные!$D$7,0,AT10*(1+Вводные!$D$23))</f>
        <v>0</v>
      </c>
      <c r="AV10" s="13">
        <f>IF(AV4&gt;Вводные!$D$7,0,AU10*(1+Вводные!$D$23))</f>
        <v>0</v>
      </c>
      <c r="AW10" s="13">
        <f>IF(AW4&gt;Вводные!$D$7,0,AV10*(1+Вводные!$D$23))</f>
        <v>0</v>
      </c>
      <c r="AX10" s="13">
        <f>IF(AX4&gt;Вводные!$D$7,0,AW10*(1+Вводные!$D$23))</f>
        <v>0</v>
      </c>
      <c r="AY10" s="13">
        <f>IF(AY4&gt;Вводные!$D$7,0,AX10*(1+Вводные!$D$23))</f>
        <v>0</v>
      </c>
      <c r="AZ10" s="13">
        <f>IF(AZ4&gt;Вводные!$D$7,0,AY10*(1+Вводные!$D$23))</f>
        <v>0</v>
      </c>
      <c r="BA10" s="13">
        <f>IF(BA4&gt;Вводные!$D$7,0,AZ10*(1+Вводные!$D$23))</f>
        <v>0</v>
      </c>
      <c r="BB10" s="13">
        <f>IF(BB4&gt;Вводные!$D$7,0,BA10*(1+Вводные!$D$23))</f>
        <v>0</v>
      </c>
    </row>
    <row r="11" spans="1:54" s="96" customFormat="1" x14ac:dyDescent="0.2">
      <c r="B11" s="62" t="s">
        <v>133</v>
      </c>
      <c r="C11" s="62"/>
      <c r="D11" s="62"/>
      <c r="E11" s="98">
        <f>IF(Вводные!$D$19="Да",IF(Вводные!$D$20="Да",Покупка!E9,Покупка!E10),0)</f>
        <v>-21800</v>
      </c>
      <c r="F11" s="98">
        <f>IF(Вводные!$D$19="Да",IF(Вводные!$D$20="Да",Покупка!F9,Покупка!F10),0)</f>
        <v>-23762</v>
      </c>
      <c r="G11" s="98">
        <f>IF(Вводные!$D$19="Да",IF(Вводные!$D$20="Да",Покупка!G9,Покупка!G10),0)</f>
        <v>-25900.580000000005</v>
      </c>
      <c r="H11" s="98">
        <f>IF(Вводные!$D$19="Да",IF(Вводные!$D$20="Да",Покупка!H9,Покупка!H10),0)</f>
        <v>-28231.632200000007</v>
      </c>
      <c r="I11" s="98">
        <f>IF(Вводные!$D$19="Да",IF(Вводные!$D$20="Да",Покупка!I9,Покупка!I10),0)</f>
        <v>-30772.479098000011</v>
      </c>
      <c r="J11" s="98">
        <f>IF(Вводные!$D$19="Да",IF(Вводные!$D$20="Да",Покупка!J9,Покупка!J10),0)</f>
        <v>-33542.002216820016</v>
      </c>
      <c r="K11" s="98">
        <f>IF(Вводные!$D$19="Да",IF(Вводные!$D$20="Да",Покупка!K9,Покупка!K10),0)</f>
        <v>-36560.782416333815</v>
      </c>
      <c r="L11" s="98">
        <f>IF(Вводные!$D$19="Да",IF(Вводные!$D$20="Да",Покупка!L9,Покупка!L10),0)</f>
        <v>-39851.252833803861</v>
      </c>
      <c r="M11" s="98">
        <f>IF(Вводные!$D$19="Да",IF(Вводные!$D$20="Да",Покупка!M9,Покупка!M10),0)</f>
        <v>-43437.865588846216</v>
      </c>
      <c r="N11" s="98">
        <f>IF(Вводные!$D$19="Да",IF(Вводные!$D$20="Да",Покупка!N9,Покупка!N10),0)</f>
        <v>-47347.273491842374</v>
      </c>
      <c r="O11" s="98">
        <f>IF(Вводные!$D$19="Да",IF(Вводные!$D$20="Да",Покупка!O9,Покупка!O10),0)</f>
        <v>-51608.528106108191</v>
      </c>
      <c r="P11" s="98">
        <f>IF(Вводные!$D$19="Да",IF(Вводные!$D$20="Да",Покупка!P9,Покупка!P10),0)</f>
        <v>-56253.295635657931</v>
      </c>
      <c r="Q11" s="98">
        <f>IF(Вводные!$D$19="Да",IF(Вводные!$D$20="Да",Покупка!Q9,Покупка!Q10),0)</f>
        <v>-61316.092242867147</v>
      </c>
      <c r="R11" s="98">
        <f>IF(Вводные!$D$19="Да",IF(Вводные!$D$20="Да",Покупка!R9,Покупка!R10),0)</f>
        <v>-66834.540544725198</v>
      </c>
      <c r="S11" s="98">
        <f>IF(Вводные!$D$19="Да",IF(Вводные!$D$20="Да",Покупка!S9,Покупка!S10),0)</f>
        <v>-72849.649193750476</v>
      </c>
      <c r="T11" s="98">
        <f>IF(Вводные!$D$19="Да",IF(Вводные!$D$20="Да",Покупка!T9,Покупка!T10),0)</f>
        <v>0</v>
      </c>
      <c r="U11" s="98">
        <f>IF(Вводные!$D$19="Да",IF(Вводные!$D$20="Да",Покупка!U9,Покупка!U10),0)</f>
        <v>0</v>
      </c>
      <c r="V11" s="98">
        <f>IF(Вводные!$D$19="Да",IF(Вводные!$D$20="Да",Покупка!V9,Покупка!V10),0)</f>
        <v>0</v>
      </c>
      <c r="W11" s="98">
        <f>IF(Вводные!$D$19="Да",IF(Вводные!$D$20="Да",Покупка!W9,Покупка!W10),0)</f>
        <v>0</v>
      </c>
      <c r="X11" s="98">
        <f>IF(Вводные!$D$19="Да",IF(Вводные!$D$20="Да",Покупка!X9,Покупка!X10),0)</f>
        <v>0</v>
      </c>
      <c r="Y11" s="98">
        <f>IF(Вводные!$D$19="Да",IF(Вводные!$D$20="Да",Покупка!Y9,Покупка!Y10),0)</f>
        <v>0</v>
      </c>
      <c r="Z11" s="98">
        <f>IF(Вводные!$D$19="Да",IF(Вводные!$D$20="Да",Покупка!Z9,Покупка!Z10),0)</f>
        <v>0</v>
      </c>
      <c r="AA11" s="98">
        <f>IF(Вводные!$D$19="Да",IF(Вводные!$D$20="Да",Покупка!AA9,Покупка!AA10),0)</f>
        <v>0</v>
      </c>
      <c r="AB11" s="98">
        <f>IF(Вводные!$D$19="Да",IF(Вводные!$D$20="Да",Покупка!AB9,Покупка!AB10),0)</f>
        <v>0</v>
      </c>
      <c r="AC11" s="98">
        <f>IF(Вводные!$D$19="Да",IF(Вводные!$D$20="Да",Покупка!AC9,Покупка!AC10),0)</f>
        <v>0</v>
      </c>
      <c r="AD11" s="98">
        <f>IF(Вводные!$D$19="Да",IF(Вводные!$D$20="Да",Покупка!AD9,Покупка!AD10),0)</f>
        <v>0</v>
      </c>
      <c r="AE11" s="98">
        <f>IF(Вводные!$D$19="Да",IF(Вводные!$D$20="Да",Покупка!AE9,Покупка!AE10),0)</f>
        <v>0</v>
      </c>
      <c r="AF11" s="98">
        <f>IF(Вводные!$D$19="Да",IF(Вводные!$D$20="Да",Покупка!AF9,Покупка!AF10),0)</f>
        <v>0</v>
      </c>
      <c r="AG11" s="98">
        <f>IF(Вводные!$D$19="Да",IF(Вводные!$D$20="Да",Покупка!AG9,Покупка!AG10),0)</f>
        <v>0</v>
      </c>
      <c r="AH11" s="98">
        <f>IF(Вводные!$D$19="Да",IF(Вводные!$D$20="Да",Покупка!AH9,Покупка!AH10),0)</f>
        <v>0</v>
      </c>
      <c r="AI11" s="98">
        <f>IF(Вводные!$D$19="Да",IF(Вводные!$D$20="Да",Покупка!AI9,Покупка!AI10),0)</f>
        <v>0</v>
      </c>
      <c r="AJ11" s="98">
        <f>IF(Вводные!$D$19="Да",IF(Вводные!$D$20="Да",Покупка!AJ9,Покупка!AJ10),0)</f>
        <v>0</v>
      </c>
      <c r="AK11" s="98">
        <f>IF(Вводные!$D$19="Да",IF(Вводные!$D$20="Да",Покупка!AK9,Покупка!AK10),0)</f>
        <v>0</v>
      </c>
      <c r="AL11" s="98">
        <f>IF(Вводные!$D$19="Да",IF(Вводные!$D$20="Да",Покупка!AL9,Покупка!AL10),0)</f>
        <v>0</v>
      </c>
      <c r="AM11" s="98">
        <f>IF(Вводные!$D$19="Да",IF(Вводные!$D$20="Да",Покупка!AM9,Покупка!AM10),0)</f>
        <v>0</v>
      </c>
      <c r="AN11" s="98">
        <f>IF(Вводные!$D$19="Да",IF(Вводные!$D$20="Да",Покупка!AN9,Покупка!AN10),0)</f>
        <v>0</v>
      </c>
      <c r="AO11" s="98">
        <f>IF(Вводные!$D$19="Да",IF(Вводные!$D$20="Да",Покупка!AO9,Покупка!AO10),0)</f>
        <v>0</v>
      </c>
      <c r="AP11" s="98">
        <f>IF(Вводные!$D$19="Да",IF(Вводные!$D$20="Да",Покупка!AP9,Покупка!AP10),0)</f>
        <v>0</v>
      </c>
      <c r="AQ11" s="98">
        <f>IF(Вводные!$D$19="Да",IF(Вводные!$D$20="Да",Покупка!AQ9,Покупка!AQ10),0)</f>
        <v>0</v>
      </c>
      <c r="AR11" s="98">
        <f>IF(Вводные!$D$19="Да",IF(Вводные!$D$20="Да",Покупка!AR9,Покупка!AR10),0)</f>
        <v>0</v>
      </c>
      <c r="AS11" s="98">
        <f>IF(Вводные!$D$19="Да",IF(Вводные!$D$20="Да",Покупка!AS9,Покупка!AS10),0)</f>
        <v>0</v>
      </c>
      <c r="AT11" s="98">
        <f>IF(Вводные!$D$19="Да",IF(Вводные!$D$20="Да",Покупка!AT9,Покупка!AT10),0)</f>
        <v>0</v>
      </c>
      <c r="AU11" s="98">
        <f>IF(Вводные!$D$19="Да",IF(Вводные!$D$20="Да",Покупка!AU9,Покупка!AU10),0)</f>
        <v>0</v>
      </c>
      <c r="AV11" s="98">
        <f>IF(Вводные!$D$19="Да",IF(Вводные!$D$20="Да",Покупка!AV9,Покупка!AV10),0)</f>
        <v>0</v>
      </c>
      <c r="AW11" s="98">
        <f>IF(Вводные!$D$19="Да",IF(Вводные!$D$20="Да",Покупка!AW9,Покупка!AW10),0)</f>
        <v>0</v>
      </c>
      <c r="AX11" s="98">
        <f>IF(Вводные!$D$19="Да",IF(Вводные!$D$20="Да",Покупка!AX9,Покупка!AX10),0)</f>
        <v>0</v>
      </c>
      <c r="AY11" s="98">
        <f>IF(Вводные!$D$19="Да",IF(Вводные!$D$20="Да",Покупка!AY9,Покупка!AY10),0)</f>
        <v>0</v>
      </c>
      <c r="AZ11" s="98">
        <f>IF(Вводные!$D$19="Да",IF(Вводные!$D$20="Да",Покупка!AZ9,Покупка!AZ10),0)</f>
        <v>0</v>
      </c>
      <c r="BA11" s="98">
        <f>IF(Вводные!$D$19="Да",IF(Вводные!$D$20="Да",Покупка!BA9,Покупка!BA10),0)</f>
        <v>0</v>
      </c>
      <c r="BB11" s="98">
        <f>IF(Вводные!$D$19="Да",IF(Вводные!$D$20="Да",Покупка!BB9,Покупка!BB10),0)</f>
        <v>0</v>
      </c>
    </row>
    <row r="13" spans="1:54" x14ac:dyDescent="0.2">
      <c r="B13" s="2" t="s">
        <v>134</v>
      </c>
      <c r="E13" s="13">
        <f>IF(E4&gt;Вводные!$D$7,0,-E40*Вводные!$D$25)</f>
        <v>-21800</v>
      </c>
      <c r="F13" s="13">
        <f>IF(F4&gt;Вводные!$D$7,0,-F40*Вводные!$D$25)</f>
        <v>-23762</v>
      </c>
      <c r="G13" s="13">
        <f>IF(G4&gt;Вводные!$D$7,0,-G40*Вводные!$D$25)</f>
        <v>-25900.580000000005</v>
      </c>
      <c r="H13" s="13">
        <f>IF(H4&gt;Вводные!$D$7,0,-H40*Вводные!$D$25)</f>
        <v>-28231.632200000007</v>
      </c>
      <c r="I13" s="13">
        <f>IF(I4&gt;Вводные!$D$7,0,-I40*Вводные!$D$25)</f>
        <v>-30772.479098000011</v>
      </c>
      <c r="J13" s="13">
        <f>IF(J4&gt;Вводные!$D$7,0,-J40*Вводные!$D$25)</f>
        <v>-33542.002216820016</v>
      </c>
      <c r="K13" s="13">
        <f>IF(K4&gt;Вводные!$D$7,0,-K40*Вводные!$D$25)</f>
        <v>-36560.782416333815</v>
      </c>
      <c r="L13" s="13">
        <f>IF(L4&gt;Вводные!$D$7,0,-L40*Вводные!$D$25)</f>
        <v>-39851.252833803861</v>
      </c>
      <c r="M13" s="13">
        <f>IF(M4&gt;Вводные!$D$7,0,-M40*Вводные!$D$25)</f>
        <v>-43437.865588846216</v>
      </c>
      <c r="N13" s="13">
        <f>IF(N4&gt;Вводные!$D$7,0,-N40*Вводные!$D$25)</f>
        <v>-47347.273491842374</v>
      </c>
      <c r="O13" s="13">
        <f>IF(O4&gt;Вводные!$D$7,0,-O40*Вводные!$D$25)</f>
        <v>-51608.528106108191</v>
      </c>
      <c r="P13" s="13">
        <f>IF(P4&gt;Вводные!$D$7,0,-P40*Вводные!$D$25)</f>
        <v>-56253.295635657931</v>
      </c>
      <c r="Q13" s="13">
        <f>IF(Q4&gt;Вводные!$D$7,0,-Q40*Вводные!$D$25)</f>
        <v>-61316.092242867147</v>
      </c>
      <c r="R13" s="13">
        <f>IF(R4&gt;Вводные!$D$7,0,-R40*Вводные!$D$25)</f>
        <v>-66834.540544725198</v>
      </c>
      <c r="S13" s="13">
        <f>IF(S4&gt;Вводные!$D$7,0,-S40*Вводные!$D$25)</f>
        <v>-72849.649193750476</v>
      </c>
      <c r="T13" s="13">
        <f>IF(T4&gt;Вводные!$D$7,0,-T40*Вводные!$D$25)</f>
        <v>0</v>
      </c>
      <c r="U13" s="13">
        <f>IF(U4&gt;Вводные!$D$7,0,-U40*Вводные!$D$25)</f>
        <v>0</v>
      </c>
      <c r="V13" s="13">
        <f>IF(V4&gt;Вводные!$D$7,0,-V40*Вводные!$D$25)</f>
        <v>0</v>
      </c>
      <c r="W13" s="13">
        <f>IF(W4&gt;Вводные!$D$7,0,-W40*Вводные!$D$25)</f>
        <v>0</v>
      </c>
      <c r="X13" s="13">
        <f>IF(X4&gt;Вводные!$D$7,0,-X40*Вводные!$D$25)</f>
        <v>0</v>
      </c>
      <c r="Y13" s="13">
        <f>IF(Y4&gt;Вводные!$D$7,0,-Y40*Вводные!$D$25)</f>
        <v>0</v>
      </c>
      <c r="Z13" s="13">
        <f>IF(Z4&gt;Вводные!$D$7,0,-Z40*Вводные!$D$25)</f>
        <v>0</v>
      </c>
      <c r="AA13" s="13">
        <f>IF(AA4&gt;Вводные!$D$7,0,-AA40*Вводные!$D$25)</f>
        <v>0</v>
      </c>
      <c r="AB13" s="13">
        <f>IF(AB4&gt;Вводные!$D$7,0,-AB40*Вводные!$D$25)</f>
        <v>0</v>
      </c>
      <c r="AC13" s="13">
        <f>IF(AC4&gt;Вводные!$D$7,0,-AC40*Вводные!$D$25)</f>
        <v>0</v>
      </c>
      <c r="AD13" s="13">
        <f>IF(AD4&gt;Вводные!$D$7,0,-AD40*Вводные!$D$25)</f>
        <v>0</v>
      </c>
      <c r="AE13" s="13">
        <f>IF(AE4&gt;Вводные!$D$7,0,-AE40*Вводные!$D$25)</f>
        <v>0</v>
      </c>
      <c r="AF13" s="13">
        <f>IF(AF4&gt;Вводные!$D$7,0,-AF40*Вводные!$D$25)</f>
        <v>0</v>
      </c>
      <c r="AG13" s="13">
        <f>IF(AG4&gt;Вводные!$D$7,0,-AG40*Вводные!$D$25)</f>
        <v>0</v>
      </c>
      <c r="AH13" s="13">
        <f>IF(AH4&gt;Вводные!$D$7,0,-AH40*Вводные!$D$25)</f>
        <v>0</v>
      </c>
      <c r="AI13" s="13">
        <f>IF(AI4&gt;Вводные!$D$7,0,-AI40*Вводные!$D$25)</f>
        <v>0</v>
      </c>
      <c r="AJ13" s="13">
        <f>IF(AJ4&gt;Вводные!$D$7,0,-AJ40*Вводные!$D$25)</f>
        <v>0</v>
      </c>
      <c r="AK13" s="13">
        <f>IF(AK4&gt;Вводные!$D$7,0,-AK40*Вводные!$D$25)</f>
        <v>0</v>
      </c>
      <c r="AL13" s="13">
        <f>IF(AL4&gt;Вводные!$D$7,0,-AL40*Вводные!$D$25)</f>
        <v>0</v>
      </c>
      <c r="AM13" s="13">
        <f>IF(AM4&gt;Вводные!$D$7,0,-AM40*Вводные!$D$25)</f>
        <v>0</v>
      </c>
      <c r="AN13" s="13">
        <f>IF(AN4&gt;Вводные!$D$7,0,-AN40*Вводные!$D$25)</f>
        <v>0</v>
      </c>
      <c r="AO13" s="13">
        <f>IF(AO4&gt;Вводные!$D$7,0,-AO40*Вводные!$D$25)</f>
        <v>0</v>
      </c>
      <c r="AP13" s="13">
        <f>IF(AP4&gt;Вводные!$D$7,0,-AP40*Вводные!$D$25)</f>
        <v>0</v>
      </c>
      <c r="AQ13" s="13">
        <f>IF(AQ4&gt;Вводные!$D$7,0,-AQ40*Вводные!$D$25)</f>
        <v>0</v>
      </c>
      <c r="AR13" s="13">
        <f>IF(AR4&gt;Вводные!$D$7,0,-AR40*Вводные!$D$25)</f>
        <v>0</v>
      </c>
      <c r="AS13" s="13">
        <f>IF(AS4&gt;Вводные!$D$7,0,-AS40*Вводные!$D$25)</f>
        <v>0</v>
      </c>
      <c r="AT13" s="13">
        <f>IF(AT4&gt;Вводные!$D$7,0,-AT40*Вводные!$D$25)</f>
        <v>0</v>
      </c>
      <c r="AU13" s="13">
        <f>IF(AU4&gt;Вводные!$D$7,0,-AU40*Вводные!$D$25)</f>
        <v>0</v>
      </c>
      <c r="AV13" s="13">
        <f>IF(AV4&gt;Вводные!$D$7,0,-AV40*Вводные!$D$25)</f>
        <v>0</v>
      </c>
      <c r="AW13" s="13">
        <f>IF(AW4&gt;Вводные!$D$7,0,-AW40*Вводные!$D$25)</f>
        <v>0</v>
      </c>
      <c r="AX13" s="13">
        <f>IF(AX4&gt;Вводные!$D$7,0,-AX40*Вводные!$D$25)</f>
        <v>0</v>
      </c>
      <c r="AY13" s="13">
        <f>IF(AY4&gt;Вводные!$D$7,0,-AY40*Вводные!$D$25)</f>
        <v>0</v>
      </c>
      <c r="AZ13" s="13">
        <f>IF(AZ4&gt;Вводные!$D$7,0,-AZ40*Вводные!$D$25)</f>
        <v>0</v>
      </c>
      <c r="BA13" s="13">
        <f>IF(BA4&gt;Вводные!$D$7,0,-BA40*Вводные!$D$25)</f>
        <v>0</v>
      </c>
      <c r="BB13" s="13">
        <f>IF(BB4&gt;Вводные!$D$7,0,-BB40*Вводные!$D$25)</f>
        <v>0</v>
      </c>
    </row>
    <row r="14" spans="1:54" x14ac:dyDescent="0.2">
      <c r="B14" s="2" t="s">
        <v>135</v>
      </c>
      <c r="E14" s="13">
        <f>IF(E4&gt;Вводные!$D$7,0,-Вводные!$D$28*Покупка!A4)</f>
        <v>0</v>
      </c>
      <c r="F14" s="13">
        <f>IF(F4&gt;Вводные!$D$7,0,E14*(1+Вводные!$D$59))</f>
        <v>0</v>
      </c>
      <c r="G14" s="13">
        <f>IF(G4&gt;Вводные!$D$7,0,F14*(1+Вводные!$D$59))</f>
        <v>0</v>
      </c>
      <c r="H14" s="13">
        <f>IF(H4&gt;Вводные!$D$7,0,G14*(1+Вводные!$D$59))</f>
        <v>0</v>
      </c>
      <c r="I14" s="13">
        <f>IF(I4&gt;Вводные!$D$7,0,H14*(1+Вводные!$D$59))</f>
        <v>0</v>
      </c>
      <c r="J14" s="13">
        <f>IF(J4&gt;Вводные!$D$7,0,I14*(1+Вводные!$D$59))</f>
        <v>0</v>
      </c>
      <c r="K14" s="13">
        <f>IF(K4&gt;Вводные!$D$7,0,J14*(1+Вводные!$D$59))</f>
        <v>0</v>
      </c>
      <c r="L14" s="13">
        <f>IF(L4&gt;Вводные!$D$7,0,K14*(1+Вводные!$D$59))</f>
        <v>0</v>
      </c>
      <c r="M14" s="13">
        <f>IF(M4&gt;Вводные!$D$7,0,L14*(1+Вводные!$D$59))</f>
        <v>0</v>
      </c>
      <c r="N14" s="13">
        <f>IF(N4&gt;Вводные!$D$7,0,M14*(1+Вводные!$D$59))</f>
        <v>0</v>
      </c>
      <c r="O14" s="13">
        <f>IF(O4&gt;Вводные!$D$7,0,N14*(1+Вводные!$D$59))</f>
        <v>0</v>
      </c>
      <c r="P14" s="13">
        <f>IF(P4&gt;Вводные!$D$7,0,O14*(1+Вводные!$D$59))</f>
        <v>0</v>
      </c>
      <c r="Q14" s="13">
        <f>IF(Q4&gt;Вводные!$D$7,0,P14*(1+Вводные!$D$59))</f>
        <v>0</v>
      </c>
      <c r="R14" s="13">
        <f>IF(R4&gt;Вводные!$D$7,0,Q14*(1+Вводные!$D$59))</f>
        <v>0</v>
      </c>
      <c r="S14" s="13">
        <f>IF(S4&gt;Вводные!$D$7,0,R14*(1+Вводные!$D$59))</f>
        <v>0</v>
      </c>
      <c r="T14" s="13">
        <f>IF(T4&gt;Вводные!$D$7,0,S14*(1+Вводные!$D$59))</f>
        <v>0</v>
      </c>
      <c r="U14" s="13">
        <f>IF(U4&gt;Вводные!$D$7,0,T14*(1+Вводные!$D$59))</f>
        <v>0</v>
      </c>
      <c r="V14" s="13">
        <f>IF(V4&gt;Вводные!$D$7,0,U14*(1+Вводные!$D$59))</f>
        <v>0</v>
      </c>
      <c r="W14" s="13">
        <f>IF(W4&gt;Вводные!$D$7,0,V14*(1+Вводные!$D$59))</f>
        <v>0</v>
      </c>
      <c r="X14" s="13">
        <f>IF(X4&gt;Вводные!$D$7,0,W14*(1+Вводные!$D$59))</f>
        <v>0</v>
      </c>
      <c r="Y14" s="13">
        <f>IF(Y4&gt;Вводные!$D$7,0,X14*(1+Вводные!$D$59))</f>
        <v>0</v>
      </c>
      <c r="Z14" s="13">
        <f>IF(Z4&gt;Вводные!$D$7,0,Y14*(1+Вводные!$D$59))</f>
        <v>0</v>
      </c>
      <c r="AA14" s="13">
        <f>IF(AA4&gt;Вводные!$D$7,0,Z14*(1+Вводные!$D$59))</f>
        <v>0</v>
      </c>
      <c r="AB14" s="13">
        <f>IF(AB4&gt;Вводные!$D$7,0,AA14*(1+Вводные!$D$59))</f>
        <v>0</v>
      </c>
      <c r="AC14" s="13">
        <f>IF(AC4&gt;Вводные!$D$7,0,AB14*(1+Вводные!$D$59))</f>
        <v>0</v>
      </c>
      <c r="AD14" s="13">
        <f>IF(AD4&gt;Вводные!$D$7,0,AC14*(1+Вводные!$D$59))</f>
        <v>0</v>
      </c>
      <c r="AE14" s="13">
        <f>IF(AE4&gt;Вводные!$D$7,0,AD14*(1+Вводные!$D$59))</f>
        <v>0</v>
      </c>
      <c r="AF14" s="13">
        <f>IF(AF4&gt;Вводные!$D$7,0,AE14*(1+Вводные!$D$59))</f>
        <v>0</v>
      </c>
      <c r="AG14" s="13">
        <f>IF(AG4&gt;Вводные!$D$7,0,AF14*(1+Вводные!$D$59))</f>
        <v>0</v>
      </c>
      <c r="AH14" s="13">
        <f>IF(AH4&gt;Вводные!$D$7,0,AG14*(1+Вводные!$D$59))</f>
        <v>0</v>
      </c>
      <c r="AI14" s="13">
        <f>IF(AI4&gt;Вводные!$D$7,0,AH14*(1+Вводные!$D$59))</f>
        <v>0</v>
      </c>
      <c r="AJ14" s="13">
        <f>IF(AJ4&gt;Вводные!$D$7,0,AI14*(1+Вводные!$D$59))</f>
        <v>0</v>
      </c>
      <c r="AK14" s="13">
        <f>IF(AK4&gt;Вводные!$D$7,0,AJ14*(1+Вводные!$D$59))</f>
        <v>0</v>
      </c>
      <c r="AL14" s="13">
        <f>IF(AL4&gt;Вводные!$D$7,0,AK14*(1+Вводные!$D$59))</f>
        <v>0</v>
      </c>
      <c r="AM14" s="13">
        <f>IF(AM4&gt;Вводные!$D$7,0,AL14*(1+Вводные!$D$59))</f>
        <v>0</v>
      </c>
      <c r="AN14" s="13">
        <f>IF(AN4&gt;Вводные!$D$7,0,AM14*(1+Вводные!$D$59))</f>
        <v>0</v>
      </c>
      <c r="AO14" s="13">
        <f>IF(AO4&gt;Вводные!$D$7,0,AN14*(1+Вводные!$D$59))</f>
        <v>0</v>
      </c>
      <c r="AP14" s="13">
        <f>IF(AP4&gt;Вводные!$D$7,0,AO14*(1+Вводные!$D$59))</f>
        <v>0</v>
      </c>
      <c r="AQ14" s="13">
        <f>IF(AQ4&gt;Вводные!$D$7,0,AP14*(1+Вводные!$D$59))</f>
        <v>0</v>
      </c>
      <c r="AR14" s="13">
        <f>IF(AR4&gt;Вводные!$D$7,0,AQ14*(1+Вводные!$D$59))</f>
        <v>0</v>
      </c>
      <c r="AS14" s="13">
        <f>IF(AS4&gt;Вводные!$D$7,0,AR14*(1+Вводные!$D$59))</f>
        <v>0</v>
      </c>
      <c r="AT14" s="13">
        <f>IF(AT4&gt;Вводные!$D$7,0,AS14*(1+Вводные!$D$59))</f>
        <v>0</v>
      </c>
      <c r="AU14" s="13">
        <f>IF(AU4&gt;Вводные!$D$7,0,AT14*(1+Вводные!$D$59))</f>
        <v>0</v>
      </c>
      <c r="AV14" s="13">
        <f>IF(AV4&gt;Вводные!$D$7,0,AU14*(1+Вводные!$D$59))</f>
        <v>0</v>
      </c>
      <c r="AW14" s="13">
        <f>IF(AW4&gt;Вводные!$D$7,0,AV14*(1+Вводные!$D$59))</f>
        <v>0</v>
      </c>
      <c r="AX14" s="13">
        <f>IF(AX4&gt;Вводные!$D$7,0,AW14*(1+Вводные!$D$59))</f>
        <v>0</v>
      </c>
      <c r="AY14" s="13">
        <f>IF(AY4&gt;Вводные!$D$7,0,AX14*(1+Вводные!$D$59))</f>
        <v>0</v>
      </c>
      <c r="AZ14" s="13">
        <f>IF(AZ4&gt;Вводные!$D$7,0,AY14*(1+Вводные!$D$59))</f>
        <v>0</v>
      </c>
      <c r="BA14" s="13">
        <f>IF(BA4&gt;Вводные!$D$7,0,AZ14*(1+Вводные!$D$59))</f>
        <v>0</v>
      </c>
      <c r="BB14" s="13">
        <f>IF(BB4&gt;Вводные!$D$7,0,BA14*(1+Вводные!$D$59))</f>
        <v>0</v>
      </c>
    </row>
    <row r="15" spans="1:54" x14ac:dyDescent="0.2">
      <c r="B15" s="2" t="s">
        <v>136</v>
      </c>
      <c r="E15" s="13">
        <f>IF(E4&gt;Вводные!$D$7,0,-Вводные!$D$29*Покупка!A4)</f>
        <v>0</v>
      </c>
      <c r="F15" s="13">
        <f>IF(F4&gt;Вводные!$D$7,0,E15*(1+Вводные!$D$59))</f>
        <v>0</v>
      </c>
      <c r="G15" s="13">
        <f>IF(G4&gt;Вводные!$D$7,0,F15*(1+Вводные!$D$59))</f>
        <v>0</v>
      </c>
      <c r="H15" s="13">
        <f>IF(H4&gt;Вводные!$D$7,0,G15*(1+Вводные!$D$59))</f>
        <v>0</v>
      </c>
      <c r="I15" s="13">
        <f>IF(I4&gt;Вводные!$D$7,0,H15*(1+Вводные!$D$59))</f>
        <v>0</v>
      </c>
      <c r="J15" s="13">
        <f>IF(J4&gt;Вводные!$D$7,0,I15*(1+Вводные!$D$59))</f>
        <v>0</v>
      </c>
      <c r="K15" s="13">
        <f>IF(K4&gt;Вводные!$D$7,0,J15*(1+Вводные!$D$59))</f>
        <v>0</v>
      </c>
      <c r="L15" s="13">
        <f>IF(L4&gt;Вводные!$D$7,0,K15*(1+Вводные!$D$59))</f>
        <v>0</v>
      </c>
      <c r="M15" s="13">
        <f>IF(M4&gt;Вводные!$D$7,0,L15*(1+Вводные!$D$59))</f>
        <v>0</v>
      </c>
      <c r="N15" s="13">
        <f>IF(N4&gt;Вводные!$D$7,0,M15*(1+Вводные!$D$59))</f>
        <v>0</v>
      </c>
      <c r="O15" s="13">
        <f>IF(O4&gt;Вводные!$D$7,0,N15*(1+Вводные!$D$59))</f>
        <v>0</v>
      </c>
      <c r="P15" s="13">
        <f>IF(P4&gt;Вводные!$D$7,0,O15*(1+Вводные!$D$59))</f>
        <v>0</v>
      </c>
      <c r="Q15" s="13">
        <f>IF(Q4&gt;Вводные!$D$7,0,P15*(1+Вводные!$D$59))</f>
        <v>0</v>
      </c>
      <c r="R15" s="13">
        <f>IF(R4&gt;Вводные!$D$7,0,Q15*(1+Вводные!$D$59))</f>
        <v>0</v>
      </c>
      <c r="S15" s="13">
        <f>IF(S4&gt;Вводные!$D$7,0,R15*(1+Вводные!$D$59))</f>
        <v>0</v>
      </c>
      <c r="T15" s="13">
        <f>IF(T4&gt;Вводные!$D$7,0,S15*(1+Вводные!$D$59))</f>
        <v>0</v>
      </c>
      <c r="U15" s="13">
        <f>IF(U4&gt;Вводные!$D$7,0,T15*(1+Вводные!$D$59))</f>
        <v>0</v>
      </c>
      <c r="V15" s="13">
        <f>IF(V4&gt;Вводные!$D$7,0,U15*(1+Вводные!$D$59))</f>
        <v>0</v>
      </c>
      <c r="W15" s="13">
        <f>IF(W4&gt;Вводные!$D$7,0,V15*(1+Вводные!$D$59))</f>
        <v>0</v>
      </c>
      <c r="X15" s="13">
        <f>IF(X4&gt;Вводные!$D$7,0,W15*(1+Вводные!$D$59))</f>
        <v>0</v>
      </c>
      <c r="Y15" s="13">
        <f>IF(Y4&gt;Вводные!$D$7,0,X15*(1+Вводные!$D$59))</f>
        <v>0</v>
      </c>
      <c r="Z15" s="13">
        <f>IF(Z4&gt;Вводные!$D$7,0,Y15*(1+Вводные!$D$59))</f>
        <v>0</v>
      </c>
      <c r="AA15" s="13">
        <f>IF(AA4&gt;Вводные!$D$7,0,Z15*(1+Вводные!$D$59))</f>
        <v>0</v>
      </c>
      <c r="AB15" s="13">
        <f>IF(AB4&gt;Вводные!$D$7,0,AA15*(1+Вводные!$D$59))</f>
        <v>0</v>
      </c>
      <c r="AC15" s="13">
        <f>IF(AC4&gt;Вводные!$D$7,0,AB15*(1+Вводные!$D$59))</f>
        <v>0</v>
      </c>
      <c r="AD15" s="13">
        <f>IF(AD4&gt;Вводные!$D$7,0,AC15*(1+Вводные!$D$59))</f>
        <v>0</v>
      </c>
      <c r="AE15" s="13">
        <f>IF(AE4&gt;Вводные!$D$7,0,AD15*(1+Вводные!$D$59))</f>
        <v>0</v>
      </c>
      <c r="AF15" s="13">
        <f>IF(AF4&gt;Вводные!$D$7,0,AE15*(1+Вводные!$D$59))</f>
        <v>0</v>
      </c>
      <c r="AG15" s="13">
        <f>IF(AG4&gt;Вводные!$D$7,0,AF15*(1+Вводные!$D$59))</f>
        <v>0</v>
      </c>
      <c r="AH15" s="13">
        <f>IF(AH4&gt;Вводные!$D$7,0,AG15*(1+Вводные!$D$59))</f>
        <v>0</v>
      </c>
      <c r="AI15" s="13">
        <f>IF(AI4&gt;Вводные!$D$7,0,AH15*(1+Вводные!$D$59))</f>
        <v>0</v>
      </c>
      <c r="AJ15" s="13">
        <f>IF(AJ4&gt;Вводные!$D$7,0,AI15*(1+Вводные!$D$59))</f>
        <v>0</v>
      </c>
      <c r="AK15" s="13">
        <f>IF(AK4&gt;Вводные!$D$7,0,AJ15*(1+Вводные!$D$59))</f>
        <v>0</v>
      </c>
      <c r="AL15" s="13">
        <f>IF(AL4&gt;Вводные!$D$7,0,AK15*(1+Вводные!$D$59))</f>
        <v>0</v>
      </c>
      <c r="AM15" s="13">
        <f>IF(AM4&gt;Вводные!$D$7,0,AL15*(1+Вводные!$D$59))</f>
        <v>0</v>
      </c>
      <c r="AN15" s="13">
        <f>IF(AN4&gt;Вводные!$D$7,0,AM15*(1+Вводные!$D$59))</f>
        <v>0</v>
      </c>
      <c r="AO15" s="13">
        <f>IF(AO4&gt;Вводные!$D$7,0,AN15*(1+Вводные!$D$59))</f>
        <v>0</v>
      </c>
      <c r="AP15" s="13">
        <f>IF(AP4&gt;Вводные!$D$7,0,AO15*(1+Вводные!$D$59))</f>
        <v>0</v>
      </c>
      <c r="AQ15" s="13">
        <f>IF(AQ4&gt;Вводные!$D$7,0,AP15*(1+Вводные!$D$59))</f>
        <v>0</v>
      </c>
      <c r="AR15" s="13">
        <f>IF(AR4&gt;Вводные!$D$7,0,AQ15*(1+Вводные!$D$59))</f>
        <v>0</v>
      </c>
      <c r="AS15" s="13">
        <f>IF(AS4&gt;Вводные!$D$7,0,AR15*(1+Вводные!$D$59))</f>
        <v>0</v>
      </c>
      <c r="AT15" s="13">
        <f>IF(AT4&gt;Вводные!$D$7,0,AS15*(1+Вводные!$D$59))</f>
        <v>0</v>
      </c>
      <c r="AU15" s="13">
        <f>IF(AU4&gt;Вводные!$D$7,0,AT15*(1+Вводные!$D$59))</f>
        <v>0</v>
      </c>
      <c r="AV15" s="13">
        <f>IF(AV4&gt;Вводные!$D$7,0,AU15*(1+Вводные!$D$59))</f>
        <v>0</v>
      </c>
      <c r="AW15" s="13">
        <f>IF(AW4&gt;Вводные!$D$7,0,AV15*(1+Вводные!$D$59))</f>
        <v>0</v>
      </c>
      <c r="AX15" s="13">
        <f>IF(AX4&gt;Вводные!$D$7,0,AW15*(1+Вводные!$D$59))</f>
        <v>0</v>
      </c>
      <c r="AY15" s="13">
        <f>IF(AY4&gt;Вводные!$D$7,0,AX15*(1+Вводные!$D$59))</f>
        <v>0</v>
      </c>
      <c r="AZ15" s="13">
        <f>IF(AZ4&gt;Вводные!$D$7,0,AY15*(1+Вводные!$D$59))</f>
        <v>0</v>
      </c>
      <c r="BA15" s="13">
        <f>IF(BA4&gt;Вводные!$D$7,0,AZ15*(1+Вводные!$D$59))</f>
        <v>0</v>
      </c>
      <c r="BB15" s="13">
        <f>IF(BB4&gt;Вводные!$D$7,0,BA15*(1+Вводные!$D$59))</f>
        <v>0</v>
      </c>
    </row>
    <row r="16" spans="1:54" x14ac:dyDescent="0.2">
      <c r="B16" s="2" t="s">
        <v>137</v>
      </c>
      <c r="E16" s="13">
        <f>IF(E4&gt;Вводные!$D$7,0,-Вводные!$D$30*Покупка!A4)</f>
        <v>0</v>
      </c>
      <c r="F16" s="13">
        <f>IF(F4&gt;Вводные!$D$7,0,E16*(1+Вводные!$D$59))</f>
        <v>0</v>
      </c>
      <c r="G16" s="13">
        <f>IF(G4&gt;Вводные!$D$7,0,F16*(1+Вводные!$D$59))</f>
        <v>0</v>
      </c>
      <c r="H16" s="13">
        <f>IF(H4&gt;Вводные!$D$7,0,G16*(1+Вводные!$D$59))</f>
        <v>0</v>
      </c>
      <c r="I16" s="13">
        <f>IF(I4&gt;Вводные!$D$7,0,H16*(1+Вводные!$D$59))</f>
        <v>0</v>
      </c>
      <c r="J16" s="13">
        <f>IF(J4&gt;Вводные!$D$7,0,I16*(1+Вводные!$D$59))</f>
        <v>0</v>
      </c>
      <c r="K16" s="13">
        <f>IF(K4&gt;Вводные!$D$7,0,J16*(1+Вводные!$D$59))</f>
        <v>0</v>
      </c>
      <c r="L16" s="13">
        <f>IF(L4&gt;Вводные!$D$7,0,K16*(1+Вводные!$D$59))</f>
        <v>0</v>
      </c>
      <c r="M16" s="13">
        <f>IF(M4&gt;Вводные!$D$7,0,L16*(1+Вводные!$D$59))</f>
        <v>0</v>
      </c>
      <c r="N16" s="13">
        <f>IF(N4&gt;Вводные!$D$7,0,M16*(1+Вводные!$D$59))</f>
        <v>0</v>
      </c>
      <c r="O16" s="13">
        <f>IF(O4&gt;Вводные!$D$7,0,N16*(1+Вводные!$D$59))</f>
        <v>0</v>
      </c>
      <c r="P16" s="13">
        <f>IF(P4&gt;Вводные!$D$7,0,O16*(1+Вводные!$D$59))</f>
        <v>0</v>
      </c>
      <c r="Q16" s="13">
        <f>IF(Q4&gt;Вводные!$D$7,0,P16*(1+Вводные!$D$59))</f>
        <v>0</v>
      </c>
      <c r="R16" s="13">
        <f>IF(R4&gt;Вводные!$D$7,0,Q16*(1+Вводные!$D$59))</f>
        <v>0</v>
      </c>
      <c r="S16" s="13">
        <f>IF(S4&gt;Вводные!$D$7,0,R16*(1+Вводные!$D$59))</f>
        <v>0</v>
      </c>
      <c r="T16" s="13">
        <f>IF(T4&gt;Вводные!$D$7,0,S16*(1+Вводные!$D$59))</f>
        <v>0</v>
      </c>
      <c r="U16" s="13">
        <f>IF(U4&gt;Вводные!$D$7,0,T16*(1+Вводные!$D$59))</f>
        <v>0</v>
      </c>
      <c r="V16" s="13">
        <f>IF(V4&gt;Вводные!$D$7,0,U16*(1+Вводные!$D$59))</f>
        <v>0</v>
      </c>
      <c r="W16" s="13">
        <f>IF(W4&gt;Вводные!$D$7,0,V16*(1+Вводные!$D$59))</f>
        <v>0</v>
      </c>
      <c r="X16" s="13">
        <f>IF(X4&gt;Вводные!$D$7,0,W16*(1+Вводные!$D$59))</f>
        <v>0</v>
      </c>
      <c r="Y16" s="13">
        <f>IF(Y4&gt;Вводные!$D$7,0,X16*(1+Вводные!$D$59))</f>
        <v>0</v>
      </c>
      <c r="Z16" s="13">
        <f>IF(Z4&gt;Вводные!$D$7,0,Y16*(1+Вводные!$D$59))</f>
        <v>0</v>
      </c>
      <c r="AA16" s="13">
        <f>IF(AA4&gt;Вводные!$D$7,0,Z16*(1+Вводные!$D$59))</f>
        <v>0</v>
      </c>
      <c r="AB16" s="13">
        <f>IF(AB4&gt;Вводные!$D$7,0,AA16*(1+Вводные!$D$59))</f>
        <v>0</v>
      </c>
      <c r="AC16" s="13">
        <f>IF(AC4&gt;Вводные!$D$7,0,AB16*(1+Вводные!$D$59))</f>
        <v>0</v>
      </c>
      <c r="AD16" s="13">
        <f>IF(AD4&gt;Вводные!$D$7,0,AC16*(1+Вводные!$D$59))</f>
        <v>0</v>
      </c>
      <c r="AE16" s="13">
        <f>IF(AE4&gt;Вводные!$D$7,0,AD16*(1+Вводные!$D$59))</f>
        <v>0</v>
      </c>
      <c r="AF16" s="13">
        <f>IF(AF4&gt;Вводные!$D$7,0,AE16*(1+Вводные!$D$59))</f>
        <v>0</v>
      </c>
      <c r="AG16" s="13">
        <f>IF(AG4&gt;Вводные!$D$7,0,AF16*(1+Вводные!$D$59))</f>
        <v>0</v>
      </c>
      <c r="AH16" s="13">
        <f>IF(AH4&gt;Вводные!$D$7,0,AG16*(1+Вводные!$D$59))</f>
        <v>0</v>
      </c>
      <c r="AI16" s="13">
        <f>IF(AI4&gt;Вводные!$D$7,0,AH16*(1+Вводные!$D$59))</f>
        <v>0</v>
      </c>
      <c r="AJ16" s="13">
        <f>IF(AJ4&gt;Вводные!$D$7,0,AI16*(1+Вводные!$D$59))</f>
        <v>0</v>
      </c>
      <c r="AK16" s="13">
        <f>IF(AK4&gt;Вводные!$D$7,0,AJ16*(1+Вводные!$D$59))</f>
        <v>0</v>
      </c>
      <c r="AL16" s="13">
        <f>IF(AL4&gt;Вводные!$D$7,0,AK16*(1+Вводные!$D$59))</f>
        <v>0</v>
      </c>
      <c r="AM16" s="13">
        <f>IF(AM4&gt;Вводные!$D$7,0,AL16*(1+Вводные!$D$59))</f>
        <v>0</v>
      </c>
      <c r="AN16" s="13">
        <f>IF(AN4&gt;Вводные!$D$7,0,AM16*(1+Вводные!$D$59))</f>
        <v>0</v>
      </c>
      <c r="AO16" s="13">
        <f>IF(AO4&gt;Вводные!$D$7,0,AN16*(1+Вводные!$D$59))</f>
        <v>0</v>
      </c>
      <c r="AP16" s="13">
        <f>IF(AP4&gt;Вводные!$D$7,0,AO16*(1+Вводные!$D$59))</f>
        <v>0</v>
      </c>
      <c r="AQ16" s="13">
        <f>IF(AQ4&gt;Вводные!$D$7,0,AP16*(1+Вводные!$D$59))</f>
        <v>0</v>
      </c>
      <c r="AR16" s="13">
        <f>IF(AR4&gt;Вводные!$D$7,0,AQ16*(1+Вводные!$D$59))</f>
        <v>0</v>
      </c>
      <c r="AS16" s="13">
        <f>IF(AS4&gt;Вводные!$D$7,0,AR16*(1+Вводные!$D$59))</f>
        <v>0</v>
      </c>
      <c r="AT16" s="13">
        <f>IF(AT4&gt;Вводные!$D$7,0,AS16*(1+Вводные!$D$59))</f>
        <v>0</v>
      </c>
      <c r="AU16" s="13">
        <f>IF(AU4&gt;Вводные!$D$7,0,AT16*(1+Вводные!$D$59))</f>
        <v>0</v>
      </c>
      <c r="AV16" s="13">
        <f>IF(AV4&gt;Вводные!$D$7,0,AU16*(1+Вводные!$D$59))</f>
        <v>0</v>
      </c>
      <c r="AW16" s="13">
        <f>IF(AW4&gt;Вводные!$D$7,0,AV16*(1+Вводные!$D$59))</f>
        <v>0</v>
      </c>
      <c r="AX16" s="13">
        <f>IF(AX4&gt;Вводные!$D$7,0,AW16*(1+Вводные!$D$59))</f>
        <v>0</v>
      </c>
      <c r="AY16" s="13">
        <f>IF(AY4&gt;Вводные!$D$7,0,AX16*(1+Вводные!$D$59))</f>
        <v>0</v>
      </c>
      <c r="AZ16" s="13">
        <f>IF(AZ4&gt;Вводные!$D$7,0,AY16*(1+Вводные!$D$59))</f>
        <v>0</v>
      </c>
      <c r="BA16" s="13">
        <f>IF(BA4&gt;Вводные!$D$7,0,AZ16*(1+Вводные!$D$59))</f>
        <v>0</v>
      </c>
      <c r="BB16" s="13">
        <f>IF(BB4&gt;Вводные!$D$7,0,BA16*(1+Вводные!$D$59))</f>
        <v>0</v>
      </c>
    </row>
    <row r="17" spans="2:54" x14ac:dyDescent="0.2">
      <c r="B17" s="62" t="s">
        <v>138</v>
      </c>
      <c r="C17" s="62"/>
      <c r="D17" s="62"/>
      <c r="E17" s="98">
        <f>SUM(E13:E16)</f>
        <v>-21800</v>
      </c>
      <c r="F17" s="98">
        <f t="shared" ref="F17:BB17" si="0">SUM(F13:F16)</f>
        <v>-23762</v>
      </c>
      <c r="G17" s="98">
        <f t="shared" si="0"/>
        <v>-25900.580000000005</v>
      </c>
      <c r="H17" s="98">
        <f t="shared" si="0"/>
        <v>-28231.632200000007</v>
      </c>
      <c r="I17" s="98">
        <f t="shared" si="0"/>
        <v>-30772.479098000011</v>
      </c>
      <c r="J17" s="98">
        <f t="shared" si="0"/>
        <v>-33542.002216820016</v>
      </c>
      <c r="K17" s="98">
        <f t="shared" si="0"/>
        <v>-36560.782416333815</v>
      </c>
      <c r="L17" s="98">
        <f t="shared" si="0"/>
        <v>-39851.252833803861</v>
      </c>
      <c r="M17" s="98">
        <f t="shared" si="0"/>
        <v>-43437.865588846216</v>
      </c>
      <c r="N17" s="98">
        <f t="shared" si="0"/>
        <v>-47347.273491842374</v>
      </c>
      <c r="O17" s="98">
        <f t="shared" si="0"/>
        <v>-51608.528106108191</v>
      </c>
      <c r="P17" s="98">
        <f t="shared" si="0"/>
        <v>-56253.295635657931</v>
      </c>
      <c r="Q17" s="98">
        <f t="shared" si="0"/>
        <v>-61316.092242867147</v>
      </c>
      <c r="R17" s="98">
        <f t="shared" si="0"/>
        <v>-66834.540544725198</v>
      </c>
      <c r="S17" s="98">
        <f t="shared" si="0"/>
        <v>-72849.649193750476</v>
      </c>
      <c r="T17" s="98">
        <f t="shared" si="0"/>
        <v>0</v>
      </c>
      <c r="U17" s="98">
        <f t="shared" si="0"/>
        <v>0</v>
      </c>
      <c r="V17" s="98">
        <f t="shared" si="0"/>
        <v>0</v>
      </c>
      <c r="W17" s="98">
        <f t="shared" si="0"/>
        <v>0</v>
      </c>
      <c r="X17" s="98">
        <f>SUM(X13:X16)</f>
        <v>0</v>
      </c>
      <c r="Y17" s="98">
        <f t="shared" si="0"/>
        <v>0</v>
      </c>
      <c r="Z17" s="98">
        <f t="shared" si="0"/>
        <v>0</v>
      </c>
      <c r="AA17" s="98">
        <f t="shared" si="0"/>
        <v>0</v>
      </c>
      <c r="AB17" s="98">
        <f t="shared" si="0"/>
        <v>0</v>
      </c>
      <c r="AC17" s="98">
        <f t="shared" si="0"/>
        <v>0</v>
      </c>
      <c r="AD17" s="98">
        <f t="shared" si="0"/>
        <v>0</v>
      </c>
      <c r="AE17" s="98">
        <f t="shared" si="0"/>
        <v>0</v>
      </c>
      <c r="AF17" s="98">
        <f t="shared" si="0"/>
        <v>0</v>
      </c>
      <c r="AG17" s="98">
        <f t="shared" si="0"/>
        <v>0</v>
      </c>
      <c r="AH17" s="98">
        <f t="shared" si="0"/>
        <v>0</v>
      </c>
      <c r="AI17" s="98">
        <f t="shared" si="0"/>
        <v>0</v>
      </c>
      <c r="AJ17" s="98">
        <f t="shared" si="0"/>
        <v>0</v>
      </c>
      <c r="AK17" s="98">
        <f t="shared" si="0"/>
        <v>0</v>
      </c>
      <c r="AL17" s="98">
        <f t="shared" si="0"/>
        <v>0</v>
      </c>
      <c r="AM17" s="98">
        <f t="shared" si="0"/>
        <v>0</v>
      </c>
      <c r="AN17" s="98">
        <f t="shared" si="0"/>
        <v>0</v>
      </c>
      <c r="AO17" s="98">
        <f t="shared" si="0"/>
        <v>0</v>
      </c>
      <c r="AP17" s="98">
        <f t="shared" si="0"/>
        <v>0</v>
      </c>
      <c r="AQ17" s="98">
        <f t="shared" si="0"/>
        <v>0</v>
      </c>
      <c r="AR17" s="98">
        <f t="shared" si="0"/>
        <v>0</v>
      </c>
      <c r="AS17" s="98">
        <f t="shared" si="0"/>
        <v>0</v>
      </c>
      <c r="AT17" s="98">
        <f t="shared" si="0"/>
        <v>0</v>
      </c>
      <c r="AU17" s="98">
        <f t="shared" si="0"/>
        <v>0</v>
      </c>
      <c r="AV17" s="98">
        <f t="shared" si="0"/>
        <v>0</v>
      </c>
      <c r="AW17" s="98">
        <f t="shared" si="0"/>
        <v>0</v>
      </c>
      <c r="AX17" s="98">
        <f t="shared" si="0"/>
        <v>0</v>
      </c>
      <c r="AY17" s="98">
        <f t="shared" si="0"/>
        <v>0</v>
      </c>
      <c r="AZ17" s="98">
        <f t="shared" si="0"/>
        <v>0</v>
      </c>
      <c r="BA17" s="98">
        <f t="shared" si="0"/>
        <v>0</v>
      </c>
      <c r="BB17" s="98">
        <f t="shared" si="0"/>
        <v>0</v>
      </c>
    </row>
    <row r="18" spans="2:54" x14ac:dyDescent="0.2">
      <c r="B18" s="99" t="s">
        <v>139</v>
      </c>
      <c r="E18" s="100">
        <f>E17/12</f>
        <v>-1816.6666666666667</v>
      </c>
      <c r="F18" s="100">
        <f t="shared" ref="F18:BB18" si="1">F17/12</f>
        <v>-1980.1666666666667</v>
      </c>
      <c r="G18" s="100">
        <f t="shared" si="1"/>
        <v>-2158.3816666666671</v>
      </c>
      <c r="H18" s="100">
        <f t="shared" si="1"/>
        <v>-2352.6360166666673</v>
      </c>
      <c r="I18" s="100">
        <f t="shared" si="1"/>
        <v>-2564.3732581666677</v>
      </c>
      <c r="J18" s="100">
        <f t="shared" si="1"/>
        <v>-2795.1668514016678</v>
      </c>
      <c r="K18" s="100">
        <f t="shared" si="1"/>
        <v>-3046.7318680278181</v>
      </c>
      <c r="L18" s="100">
        <f t="shared" si="1"/>
        <v>-3320.9377361503216</v>
      </c>
      <c r="M18" s="100">
        <f t="shared" si="1"/>
        <v>-3619.8221324038514</v>
      </c>
      <c r="N18" s="100">
        <f t="shared" si="1"/>
        <v>-3945.606124320198</v>
      </c>
      <c r="O18" s="100">
        <f t="shared" si="1"/>
        <v>-4300.7106755090163</v>
      </c>
      <c r="P18" s="100">
        <f t="shared" si="1"/>
        <v>-4687.7746363048273</v>
      </c>
      <c r="Q18" s="100">
        <f t="shared" si="1"/>
        <v>-5109.6743535722626</v>
      </c>
      <c r="R18" s="100">
        <f t="shared" si="1"/>
        <v>-5569.5450453937665</v>
      </c>
      <c r="S18" s="100">
        <f t="shared" si="1"/>
        <v>-6070.8040994792063</v>
      </c>
      <c r="T18" s="100">
        <f t="shared" si="1"/>
        <v>0</v>
      </c>
      <c r="U18" s="100">
        <f t="shared" si="1"/>
        <v>0</v>
      </c>
      <c r="V18" s="100">
        <f t="shared" si="1"/>
        <v>0</v>
      </c>
      <c r="W18" s="100">
        <f t="shared" si="1"/>
        <v>0</v>
      </c>
      <c r="X18" s="100">
        <f t="shared" si="1"/>
        <v>0</v>
      </c>
      <c r="Y18" s="100">
        <f t="shared" si="1"/>
        <v>0</v>
      </c>
      <c r="Z18" s="100">
        <f t="shared" si="1"/>
        <v>0</v>
      </c>
      <c r="AA18" s="100">
        <f t="shared" si="1"/>
        <v>0</v>
      </c>
      <c r="AB18" s="100">
        <f t="shared" si="1"/>
        <v>0</v>
      </c>
      <c r="AC18" s="100">
        <f t="shared" si="1"/>
        <v>0</v>
      </c>
      <c r="AD18" s="100">
        <f t="shared" si="1"/>
        <v>0</v>
      </c>
      <c r="AE18" s="100">
        <f t="shared" si="1"/>
        <v>0</v>
      </c>
      <c r="AF18" s="100">
        <f t="shared" si="1"/>
        <v>0</v>
      </c>
      <c r="AG18" s="100">
        <f t="shared" si="1"/>
        <v>0</v>
      </c>
      <c r="AH18" s="100">
        <f t="shared" si="1"/>
        <v>0</v>
      </c>
      <c r="AI18" s="100">
        <f t="shared" si="1"/>
        <v>0</v>
      </c>
      <c r="AJ18" s="100">
        <f t="shared" si="1"/>
        <v>0</v>
      </c>
      <c r="AK18" s="100">
        <f t="shared" si="1"/>
        <v>0</v>
      </c>
      <c r="AL18" s="100">
        <f t="shared" si="1"/>
        <v>0</v>
      </c>
      <c r="AM18" s="100">
        <f t="shared" si="1"/>
        <v>0</v>
      </c>
      <c r="AN18" s="100">
        <f t="shared" si="1"/>
        <v>0</v>
      </c>
      <c r="AO18" s="100">
        <f t="shared" si="1"/>
        <v>0</v>
      </c>
      <c r="AP18" s="100">
        <f t="shared" si="1"/>
        <v>0</v>
      </c>
      <c r="AQ18" s="100">
        <f t="shared" si="1"/>
        <v>0</v>
      </c>
      <c r="AR18" s="100">
        <f t="shared" si="1"/>
        <v>0</v>
      </c>
      <c r="AS18" s="100">
        <f t="shared" si="1"/>
        <v>0</v>
      </c>
      <c r="AT18" s="100">
        <f t="shared" si="1"/>
        <v>0</v>
      </c>
      <c r="AU18" s="100">
        <f t="shared" si="1"/>
        <v>0</v>
      </c>
      <c r="AV18" s="100">
        <f t="shared" si="1"/>
        <v>0</v>
      </c>
      <c r="AW18" s="100">
        <f t="shared" si="1"/>
        <v>0</v>
      </c>
      <c r="AX18" s="100">
        <f t="shared" si="1"/>
        <v>0</v>
      </c>
      <c r="AY18" s="100">
        <f t="shared" si="1"/>
        <v>0</v>
      </c>
      <c r="AZ18" s="100">
        <f t="shared" si="1"/>
        <v>0</v>
      </c>
      <c r="BA18" s="100">
        <f t="shared" si="1"/>
        <v>0</v>
      </c>
      <c r="BB18" s="100">
        <f t="shared" si="1"/>
        <v>0</v>
      </c>
    </row>
    <row r="19" spans="2:54" s="99" customFormat="1" x14ac:dyDescent="0.2">
      <c r="B19" s="99" t="s">
        <v>140</v>
      </c>
      <c r="F19" s="101">
        <f>IFERROR(IF(F17-E17=-E17,"",F17/E17-1),"")</f>
        <v>9.000000000000008E-2</v>
      </c>
      <c r="G19" s="101">
        <f>IFERROR(IF(G17-F17=-F17,"",G17/F17-1),"")</f>
        <v>9.0000000000000302E-2</v>
      </c>
      <c r="H19" s="101">
        <f t="shared" ref="H19:BB19" si="2">IFERROR(IF(H17-G17=-G17,"",H17/G17-1),"")</f>
        <v>9.000000000000008E-2</v>
      </c>
      <c r="I19" s="101">
        <f t="shared" si="2"/>
        <v>9.000000000000008E-2</v>
      </c>
      <c r="J19" s="101">
        <f t="shared" si="2"/>
        <v>9.000000000000008E-2</v>
      </c>
      <c r="K19" s="101">
        <f t="shared" si="2"/>
        <v>8.9999999999999858E-2</v>
      </c>
      <c r="L19" s="101">
        <f t="shared" si="2"/>
        <v>9.000000000000008E-2</v>
      </c>
      <c r="M19" s="101">
        <f t="shared" si="2"/>
        <v>9.0000000000000302E-2</v>
      </c>
      <c r="N19" s="101">
        <f t="shared" si="2"/>
        <v>8.9999999999999858E-2</v>
      </c>
      <c r="O19" s="101">
        <f t="shared" si="2"/>
        <v>9.000000000000008E-2</v>
      </c>
      <c r="P19" s="101">
        <f t="shared" si="2"/>
        <v>9.000000000000008E-2</v>
      </c>
      <c r="Q19" s="101">
        <f t="shared" si="2"/>
        <v>9.000000000000008E-2</v>
      </c>
      <c r="R19" s="101">
        <f t="shared" si="2"/>
        <v>9.000000000000008E-2</v>
      </c>
      <c r="S19" s="101">
        <f t="shared" si="2"/>
        <v>9.000000000000008E-2</v>
      </c>
      <c r="T19" s="101" t="str">
        <f t="shared" si="2"/>
        <v/>
      </c>
      <c r="U19" s="101" t="str">
        <f t="shared" si="2"/>
        <v/>
      </c>
      <c r="V19" s="101" t="str">
        <f t="shared" si="2"/>
        <v/>
      </c>
      <c r="W19" s="101" t="str">
        <f t="shared" si="2"/>
        <v/>
      </c>
      <c r="X19" s="101" t="str">
        <f t="shared" si="2"/>
        <v/>
      </c>
      <c r="Y19" s="101" t="str">
        <f t="shared" si="2"/>
        <v/>
      </c>
      <c r="Z19" s="101" t="str">
        <f t="shared" si="2"/>
        <v/>
      </c>
      <c r="AA19" s="101" t="str">
        <f t="shared" si="2"/>
        <v/>
      </c>
      <c r="AB19" s="101" t="str">
        <f t="shared" si="2"/>
        <v/>
      </c>
      <c r="AC19" s="101" t="str">
        <f t="shared" si="2"/>
        <v/>
      </c>
      <c r="AD19" s="101" t="str">
        <f t="shared" si="2"/>
        <v/>
      </c>
      <c r="AE19" s="101" t="str">
        <f t="shared" si="2"/>
        <v/>
      </c>
      <c r="AF19" s="101" t="str">
        <f t="shared" si="2"/>
        <v/>
      </c>
      <c r="AG19" s="101" t="str">
        <f t="shared" si="2"/>
        <v/>
      </c>
      <c r="AH19" s="101" t="str">
        <f t="shared" si="2"/>
        <v/>
      </c>
      <c r="AI19" s="101" t="str">
        <f t="shared" si="2"/>
        <v/>
      </c>
      <c r="AJ19" s="101" t="str">
        <f t="shared" si="2"/>
        <v/>
      </c>
      <c r="AK19" s="101" t="str">
        <f t="shared" si="2"/>
        <v/>
      </c>
      <c r="AL19" s="101" t="str">
        <f t="shared" si="2"/>
        <v/>
      </c>
      <c r="AM19" s="101" t="str">
        <f t="shared" si="2"/>
        <v/>
      </c>
      <c r="AN19" s="101" t="str">
        <f t="shared" si="2"/>
        <v/>
      </c>
      <c r="AO19" s="101" t="str">
        <f t="shared" si="2"/>
        <v/>
      </c>
      <c r="AP19" s="101" t="str">
        <f t="shared" si="2"/>
        <v/>
      </c>
      <c r="AQ19" s="101" t="str">
        <f t="shared" si="2"/>
        <v/>
      </c>
      <c r="AR19" s="101" t="str">
        <f t="shared" si="2"/>
        <v/>
      </c>
      <c r="AS19" s="101" t="str">
        <f t="shared" si="2"/>
        <v/>
      </c>
      <c r="AT19" s="101" t="str">
        <f t="shared" si="2"/>
        <v/>
      </c>
      <c r="AU19" s="101" t="str">
        <f t="shared" si="2"/>
        <v/>
      </c>
      <c r="AV19" s="101" t="str">
        <f t="shared" si="2"/>
        <v/>
      </c>
      <c r="AW19" s="101" t="str">
        <f t="shared" si="2"/>
        <v/>
      </c>
      <c r="AX19" s="101" t="str">
        <f t="shared" si="2"/>
        <v/>
      </c>
      <c r="AY19" s="101" t="str">
        <f t="shared" si="2"/>
        <v/>
      </c>
      <c r="AZ19" s="101" t="str">
        <f t="shared" si="2"/>
        <v/>
      </c>
      <c r="BA19" s="101" t="str">
        <f t="shared" si="2"/>
        <v/>
      </c>
      <c r="BB19" s="101" t="str">
        <f t="shared" si="2"/>
        <v/>
      </c>
    </row>
    <row r="21" spans="2:54" x14ac:dyDescent="0.2">
      <c r="B21" s="103" t="s">
        <v>141</v>
      </c>
      <c r="C21" s="103"/>
      <c r="D21" s="104">
        <f>-Вводные!D6</f>
        <v>0</v>
      </c>
    </row>
    <row r="22" spans="2:54" x14ac:dyDescent="0.2">
      <c r="B22" s="2" t="s">
        <v>142</v>
      </c>
      <c r="C22" s="103"/>
      <c r="D22" s="104">
        <f>-Вводные!D33</f>
        <v>-500000</v>
      </c>
      <c r="F22" s="13"/>
    </row>
    <row r="23" spans="2:54" x14ac:dyDescent="0.2">
      <c r="B23" s="2" t="s">
        <v>143</v>
      </c>
      <c r="C23" s="103"/>
      <c r="D23" s="104">
        <f>-Вводные!D13</f>
        <v>-3000000</v>
      </c>
    </row>
    <row r="24" spans="2:54" s="96" customFormat="1" x14ac:dyDescent="0.2">
      <c r="B24" s="105" t="s">
        <v>144</v>
      </c>
      <c r="C24" s="105"/>
      <c r="D24" s="106">
        <f>IF(Вводные!$D$11="Да",D21+D22+D23,Покупка!D21+Покупка!D22-Вводные!$D$5)</f>
        <v>-3500000</v>
      </c>
      <c r="E24" s="106">
        <f>E7+E11+E17</f>
        <v>-1051741.1721568718</v>
      </c>
      <c r="F24" s="106">
        <f>F7+F11+F17</f>
        <v>-1055665.1721568718</v>
      </c>
      <c r="G24" s="106">
        <f t="shared" ref="G24:BB24" si="3">G7+G11+G17</f>
        <v>-1059942.3321568717</v>
      </c>
      <c r="H24" s="106">
        <f t="shared" si="3"/>
        <v>-1064604.4365568717</v>
      </c>
      <c r="I24" s="106">
        <f t="shared" si="3"/>
        <v>-1069686.1303528717</v>
      </c>
      <c r="J24" s="106">
        <f t="shared" si="3"/>
        <v>-1075225.1765905118</v>
      </c>
      <c r="K24" s="106">
        <f t="shared" si="3"/>
        <v>-1081262.7369895391</v>
      </c>
      <c r="L24" s="106">
        <f t="shared" si="3"/>
        <v>-1087843.6778244793</v>
      </c>
      <c r="M24" s="106">
        <f t="shared" si="3"/>
        <v>-1095016.9033345638</v>
      </c>
      <c r="N24" s="106">
        <f t="shared" si="3"/>
        <v>-1102835.7191405564</v>
      </c>
      <c r="O24" s="106">
        <f t="shared" si="3"/>
        <v>-1111358.2283690884</v>
      </c>
      <c r="P24" s="106">
        <f t="shared" si="3"/>
        <v>-1120647.7634281875</v>
      </c>
      <c r="Q24" s="106">
        <f t="shared" si="3"/>
        <v>-1130773.3566426062</v>
      </c>
      <c r="R24" s="106">
        <f t="shared" si="3"/>
        <v>-1141810.253246322</v>
      </c>
      <c r="S24" s="106">
        <f t="shared" si="3"/>
        <v>-1153840.4705443725</v>
      </c>
      <c r="T24" s="106">
        <f t="shared" si="3"/>
        <v>0</v>
      </c>
      <c r="U24" s="106">
        <f t="shared" si="3"/>
        <v>0</v>
      </c>
      <c r="V24" s="106">
        <f t="shared" si="3"/>
        <v>0</v>
      </c>
      <c r="W24" s="106">
        <f t="shared" si="3"/>
        <v>0</v>
      </c>
      <c r="X24" s="106">
        <f>X7+X11+X17</f>
        <v>0</v>
      </c>
      <c r="Y24" s="106">
        <f t="shared" si="3"/>
        <v>0</v>
      </c>
      <c r="Z24" s="106">
        <f t="shared" si="3"/>
        <v>0</v>
      </c>
      <c r="AA24" s="106">
        <f t="shared" si="3"/>
        <v>0</v>
      </c>
      <c r="AB24" s="106">
        <f t="shared" si="3"/>
        <v>0</v>
      </c>
      <c r="AC24" s="106">
        <f t="shared" si="3"/>
        <v>0</v>
      </c>
      <c r="AD24" s="106">
        <f t="shared" si="3"/>
        <v>0</v>
      </c>
      <c r="AE24" s="106">
        <f t="shared" si="3"/>
        <v>0</v>
      </c>
      <c r="AF24" s="106">
        <f t="shared" si="3"/>
        <v>0</v>
      </c>
      <c r="AG24" s="106">
        <f t="shared" si="3"/>
        <v>0</v>
      </c>
      <c r="AH24" s="106">
        <f t="shared" si="3"/>
        <v>0</v>
      </c>
      <c r="AI24" s="106">
        <f t="shared" si="3"/>
        <v>0</v>
      </c>
      <c r="AJ24" s="106">
        <f t="shared" si="3"/>
        <v>0</v>
      </c>
      <c r="AK24" s="106">
        <f t="shared" si="3"/>
        <v>0</v>
      </c>
      <c r="AL24" s="106">
        <f t="shared" si="3"/>
        <v>0</v>
      </c>
      <c r="AM24" s="106">
        <f t="shared" si="3"/>
        <v>0</v>
      </c>
      <c r="AN24" s="106">
        <f t="shared" si="3"/>
        <v>0</v>
      </c>
      <c r="AO24" s="106">
        <f t="shared" si="3"/>
        <v>0</v>
      </c>
      <c r="AP24" s="106">
        <f t="shared" si="3"/>
        <v>0</v>
      </c>
      <c r="AQ24" s="106">
        <f t="shared" si="3"/>
        <v>0</v>
      </c>
      <c r="AR24" s="106">
        <f t="shared" si="3"/>
        <v>0</v>
      </c>
      <c r="AS24" s="106">
        <f t="shared" si="3"/>
        <v>0</v>
      </c>
      <c r="AT24" s="106">
        <f t="shared" si="3"/>
        <v>0</v>
      </c>
      <c r="AU24" s="106">
        <f t="shared" si="3"/>
        <v>0</v>
      </c>
      <c r="AV24" s="106">
        <f t="shared" si="3"/>
        <v>0</v>
      </c>
      <c r="AW24" s="106">
        <f t="shared" si="3"/>
        <v>0</v>
      </c>
      <c r="AX24" s="106">
        <f t="shared" si="3"/>
        <v>0</v>
      </c>
      <c r="AY24" s="106">
        <f t="shared" si="3"/>
        <v>0</v>
      </c>
      <c r="AZ24" s="106">
        <f t="shared" si="3"/>
        <v>0</v>
      </c>
      <c r="BA24" s="106">
        <f t="shared" si="3"/>
        <v>0</v>
      </c>
      <c r="BB24" s="106">
        <f t="shared" si="3"/>
        <v>0</v>
      </c>
    </row>
    <row r="25" spans="2:54" s="99" customFormat="1" x14ac:dyDescent="0.2">
      <c r="B25" s="99" t="s">
        <v>145</v>
      </c>
      <c r="E25" s="100">
        <f>E24/12</f>
        <v>-87645.097679739309</v>
      </c>
      <c r="F25" s="100">
        <f t="shared" ref="F25:BB25" si="4">F24/12</f>
        <v>-87972.097679739309</v>
      </c>
      <c r="G25" s="100">
        <f t="shared" si="4"/>
        <v>-88328.527679739302</v>
      </c>
      <c r="H25" s="100">
        <f t="shared" si="4"/>
        <v>-88717.036379739307</v>
      </c>
      <c r="I25" s="100">
        <f t="shared" si="4"/>
        <v>-89140.510862739306</v>
      </c>
      <c r="J25" s="100">
        <f t="shared" si="4"/>
        <v>-89602.098049209322</v>
      </c>
      <c r="K25" s="100">
        <f t="shared" si="4"/>
        <v>-90105.228082461588</v>
      </c>
      <c r="L25" s="100">
        <f t="shared" si="4"/>
        <v>-90653.639818706608</v>
      </c>
      <c r="M25" s="100">
        <f t="shared" si="4"/>
        <v>-91251.408611213657</v>
      </c>
      <c r="N25" s="100">
        <f t="shared" si="4"/>
        <v>-91902.976595046362</v>
      </c>
      <c r="O25" s="100">
        <f t="shared" si="4"/>
        <v>-92613.185697424036</v>
      </c>
      <c r="P25" s="100">
        <f t="shared" si="4"/>
        <v>-93387.313619015622</v>
      </c>
      <c r="Q25" s="100">
        <f t="shared" si="4"/>
        <v>-94231.113053550522</v>
      </c>
      <c r="R25" s="100">
        <f t="shared" si="4"/>
        <v>-95150.854437193499</v>
      </c>
      <c r="S25" s="100">
        <f t="shared" si="4"/>
        <v>-96153.372545364371</v>
      </c>
      <c r="T25" s="100">
        <f t="shared" si="4"/>
        <v>0</v>
      </c>
      <c r="U25" s="100">
        <f t="shared" si="4"/>
        <v>0</v>
      </c>
      <c r="V25" s="100">
        <f t="shared" si="4"/>
        <v>0</v>
      </c>
      <c r="W25" s="100">
        <f t="shared" si="4"/>
        <v>0</v>
      </c>
      <c r="X25" s="100">
        <f t="shared" si="4"/>
        <v>0</v>
      </c>
      <c r="Y25" s="100">
        <f t="shared" si="4"/>
        <v>0</v>
      </c>
      <c r="Z25" s="100">
        <f t="shared" si="4"/>
        <v>0</v>
      </c>
      <c r="AA25" s="100">
        <f t="shared" si="4"/>
        <v>0</v>
      </c>
      <c r="AB25" s="100">
        <f t="shared" si="4"/>
        <v>0</v>
      </c>
      <c r="AC25" s="100">
        <f t="shared" si="4"/>
        <v>0</v>
      </c>
      <c r="AD25" s="100">
        <f t="shared" si="4"/>
        <v>0</v>
      </c>
      <c r="AE25" s="100">
        <f t="shared" si="4"/>
        <v>0</v>
      </c>
      <c r="AF25" s="100">
        <f t="shared" si="4"/>
        <v>0</v>
      </c>
      <c r="AG25" s="100">
        <f t="shared" si="4"/>
        <v>0</v>
      </c>
      <c r="AH25" s="100">
        <f t="shared" si="4"/>
        <v>0</v>
      </c>
      <c r="AI25" s="100">
        <f t="shared" si="4"/>
        <v>0</v>
      </c>
      <c r="AJ25" s="100">
        <f t="shared" si="4"/>
        <v>0</v>
      </c>
      <c r="AK25" s="100">
        <f t="shared" si="4"/>
        <v>0</v>
      </c>
      <c r="AL25" s="100">
        <f t="shared" si="4"/>
        <v>0</v>
      </c>
      <c r="AM25" s="100">
        <f t="shared" si="4"/>
        <v>0</v>
      </c>
      <c r="AN25" s="100">
        <f t="shared" si="4"/>
        <v>0</v>
      </c>
      <c r="AO25" s="100">
        <f t="shared" si="4"/>
        <v>0</v>
      </c>
      <c r="AP25" s="100">
        <f t="shared" si="4"/>
        <v>0</v>
      </c>
      <c r="AQ25" s="100">
        <f t="shared" si="4"/>
        <v>0</v>
      </c>
      <c r="AR25" s="100">
        <f t="shared" si="4"/>
        <v>0</v>
      </c>
      <c r="AS25" s="100">
        <f t="shared" si="4"/>
        <v>0</v>
      </c>
      <c r="AT25" s="100">
        <f t="shared" si="4"/>
        <v>0</v>
      </c>
      <c r="AU25" s="100">
        <f t="shared" si="4"/>
        <v>0</v>
      </c>
      <c r="AV25" s="100">
        <f t="shared" si="4"/>
        <v>0</v>
      </c>
      <c r="AW25" s="100">
        <f t="shared" si="4"/>
        <v>0</v>
      </c>
      <c r="AX25" s="100">
        <f t="shared" si="4"/>
        <v>0</v>
      </c>
      <c r="AY25" s="100">
        <f t="shared" si="4"/>
        <v>0</v>
      </c>
      <c r="AZ25" s="100">
        <f t="shared" si="4"/>
        <v>0</v>
      </c>
      <c r="BA25" s="100">
        <f t="shared" si="4"/>
        <v>0</v>
      </c>
      <c r="BB25" s="100">
        <f t="shared" si="4"/>
        <v>0</v>
      </c>
    </row>
    <row r="26" spans="2:54" s="99" customFormat="1" x14ac:dyDescent="0.2">
      <c r="B26" s="99" t="s">
        <v>140</v>
      </c>
      <c r="F26" s="101">
        <f t="shared" ref="F26:BB26" si="5">IFERROR(IF(F24-E24=-E24,"",F24/E24-1),"")</f>
        <v>3.7309559650999802E-3</v>
      </c>
      <c r="G26" s="101">
        <f t="shared" si="5"/>
        <v>4.0516255653875177E-3</v>
      </c>
      <c r="H26" s="101">
        <f t="shared" si="5"/>
        <v>4.3984509897940782E-3</v>
      </c>
      <c r="I26" s="101">
        <f t="shared" si="5"/>
        <v>4.7733163807162082E-3</v>
      </c>
      <c r="J26" s="101">
        <f t="shared" si="5"/>
        <v>5.1781976791760442E-3</v>
      </c>
      <c r="K26" s="101">
        <f t="shared" si="5"/>
        <v>5.6151590666544404E-3</v>
      </c>
      <c r="L26" s="101">
        <f t="shared" si="5"/>
        <v>6.0863475728969441E-3</v>
      </c>
      <c r="M26" s="101">
        <f t="shared" si="5"/>
        <v>6.5939855664096658E-3</v>
      </c>
      <c r="N26" s="101">
        <f t="shared" si="5"/>
        <v>7.1403608311273459E-3</v>
      </c>
      <c r="O26" s="101">
        <f t="shared" si="5"/>
        <v>7.7278139260610335E-3</v>
      </c>
      <c r="P26" s="101">
        <f t="shared" si="5"/>
        <v>8.3587225270571608E-3</v>
      </c>
      <c r="Q26" s="101">
        <f t="shared" si="5"/>
        <v>9.0354824636809106E-3</v>
      </c>
      <c r="R26" s="101">
        <f t="shared" si="5"/>
        <v>9.7604851926169633E-3</v>
      </c>
      <c r="S26" s="101">
        <f t="shared" si="5"/>
        <v>1.0536091494928179E-2</v>
      </c>
      <c r="T26" s="101" t="str">
        <f t="shared" si="5"/>
        <v/>
      </c>
      <c r="U26" s="101" t="str">
        <f t="shared" si="5"/>
        <v/>
      </c>
      <c r="V26" s="101" t="str">
        <f t="shared" si="5"/>
        <v/>
      </c>
      <c r="W26" s="101" t="str">
        <f t="shared" si="5"/>
        <v/>
      </c>
      <c r="X26" s="101" t="str">
        <f t="shared" si="5"/>
        <v/>
      </c>
      <c r="Y26" s="101" t="str">
        <f t="shared" si="5"/>
        <v/>
      </c>
      <c r="Z26" s="101" t="str">
        <f t="shared" si="5"/>
        <v/>
      </c>
      <c r="AA26" s="101" t="str">
        <f t="shared" si="5"/>
        <v/>
      </c>
      <c r="AB26" s="101" t="str">
        <f t="shared" si="5"/>
        <v/>
      </c>
      <c r="AC26" s="101" t="str">
        <f t="shared" si="5"/>
        <v/>
      </c>
      <c r="AD26" s="101" t="str">
        <f t="shared" si="5"/>
        <v/>
      </c>
      <c r="AE26" s="101" t="str">
        <f t="shared" si="5"/>
        <v/>
      </c>
      <c r="AF26" s="101" t="str">
        <f t="shared" si="5"/>
        <v/>
      </c>
      <c r="AG26" s="101" t="str">
        <f t="shared" si="5"/>
        <v/>
      </c>
      <c r="AH26" s="101" t="str">
        <f t="shared" si="5"/>
        <v/>
      </c>
      <c r="AI26" s="101" t="str">
        <f t="shared" si="5"/>
        <v/>
      </c>
      <c r="AJ26" s="101" t="str">
        <f t="shared" si="5"/>
        <v/>
      </c>
      <c r="AK26" s="101" t="str">
        <f t="shared" si="5"/>
        <v/>
      </c>
      <c r="AL26" s="101" t="str">
        <f t="shared" si="5"/>
        <v/>
      </c>
      <c r="AM26" s="101" t="str">
        <f t="shared" si="5"/>
        <v/>
      </c>
      <c r="AN26" s="101" t="str">
        <f t="shared" si="5"/>
        <v/>
      </c>
      <c r="AO26" s="101" t="str">
        <f t="shared" si="5"/>
        <v/>
      </c>
      <c r="AP26" s="101" t="str">
        <f t="shared" si="5"/>
        <v/>
      </c>
      <c r="AQ26" s="101" t="str">
        <f t="shared" si="5"/>
        <v/>
      </c>
      <c r="AR26" s="101" t="str">
        <f t="shared" si="5"/>
        <v/>
      </c>
      <c r="AS26" s="101" t="str">
        <f t="shared" si="5"/>
        <v/>
      </c>
      <c r="AT26" s="101" t="str">
        <f t="shared" si="5"/>
        <v/>
      </c>
      <c r="AU26" s="101" t="str">
        <f t="shared" si="5"/>
        <v/>
      </c>
      <c r="AV26" s="101" t="str">
        <f t="shared" si="5"/>
        <v/>
      </c>
      <c r="AW26" s="101" t="str">
        <f t="shared" si="5"/>
        <v/>
      </c>
      <c r="AX26" s="101" t="str">
        <f t="shared" si="5"/>
        <v/>
      </c>
      <c r="AY26" s="101" t="str">
        <f t="shared" si="5"/>
        <v/>
      </c>
      <c r="AZ26" s="101" t="str">
        <f t="shared" si="5"/>
        <v/>
      </c>
      <c r="BA26" s="101" t="str">
        <f t="shared" si="5"/>
        <v/>
      </c>
      <c r="BB26" s="101" t="str">
        <f t="shared" si="5"/>
        <v/>
      </c>
    </row>
    <row r="27" spans="2:54" x14ac:dyDescent="0.2">
      <c r="E27" s="13"/>
      <c r="G27" s="13"/>
      <c r="I27" s="13"/>
    </row>
    <row r="28" spans="2:54" x14ac:dyDescent="0.2">
      <c r="B28" s="2" t="s">
        <v>146</v>
      </c>
      <c r="D28" s="13"/>
      <c r="E28" s="13">
        <f>IF(Вводные!D36="Да",Вводные!D38,0)</f>
        <v>260000</v>
      </c>
      <c r="G28" s="13"/>
      <c r="H28" s="13"/>
      <c r="J28" s="13"/>
    </row>
    <row r="29" spans="2:54" x14ac:dyDescent="0.2">
      <c r="B29" s="2" t="s">
        <v>147</v>
      </c>
      <c r="D29" s="13"/>
      <c r="E29" s="13">
        <f>IF(Вводные!$D$36="Да",IF(IF(-E55&lt;'Налоговые вычеты'!$E$4,E6*Вводные!$D$37*-1,('Налоговые вычеты'!$E$4+D55)*Вводные!$D$37)&lt;0,0,IF(-E55&lt;'Налоговые вычеты'!$E$4,E6*Вводные!$D$37*-1,('Налоговые вычеты'!$E$4+D55)*Вводные!$D$37)),0)</f>
        <v>107956.80071973838</v>
      </c>
      <c r="F29" s="13">
        <f>IF(Вводные!$D$36="Да",IF(IF(-F55&lt;'Налоговые вычеты'!$E$4,F6*Вводные!$D$37*-1,('Налоговые вычеты'!$E$4+E55)*Вводные!$D$37)&lt;0,0,IF(-F55&lt;'Налоговые вычеты'!$E$4,F6*Вводные!$D$37*-1,('Налоговые вычеты'!$E$4+E55)*Вводные!$D$37)),0)</f>
        <v>105026.94573428058</v>
      </c>
      <c r="G29" s="13">
        <f>IF(Вводные!$D$36="Да",IF(IF(-G55&lt;'Налоговые вычеты'!$E$4,G6*Вводные!$D$37*-1,('Налоговые вычеты'!$E$4+F55)*Вводные!$D$37)&lt;0,0,IF(-G55&lt;'Налоговые вычеты'!$E$4,G6*Вводные!$D$37*-1,('Налоговые вычеты'!$E$4+F55)*Вводные!$D$37)),0)</f>
        <v>101725.5118020098</v>
      </c>
      <c r="H29" s="13">
        <f>IF(Вводные!$D$36="Да",IF(IF(-H55&lt;'Налоговые вычеты'!$E$4,H6*Вводные!$D$37*-1,('Налоговые вычеты'!$E$4+G55)*Вводные!$D$37)&lt;0,0,IF(-H55&lt;'Налоговые вычеты'!$E$4,H6*Вводные!$D$37*-1,('Налоговые вычеты'!$E$4+G55)*Вводные!$D$37)),0)</f>
        <v>75290.741743971244</v>
      </c>
      <c r="I29" s="13">
        <f>IF(Вводные!$D$36="Да",IF(IF(-I55&lt;'Налоговые вычеты'!$E$4,I6*Вводные!$D$37*-1,('Налоговые вычеты'!$E$4+H55)*Вводные!$D$37)&lt;0,0,IF(-I55&lt;'Налоговые вычеты'!$E$4,I6*Вводные!$D$37*-1,('Налоговые вычеты'!$E$4+H55)*Вводные!$D$37)),0)</f>
        <v>0</v>
      </c>
      <c r="J29" s="13">
        <f>IF(Вводные!$D$36="Да",IF(IF(-J55&lt;'Налоговые вычеты'!$E$4,J6*Вводные!$D$37*-1,('Налоговые вычеты'!$E$4+I55)*Вводные!$D$37)&lt;0,0,IF(-J55&lt;'Налоговые вычеты'!$E$4,J6*Вводные!$D$37*-1,('Налоговые вычеты'!$E$4+I55)*Вводные!$D$37)),0)</f>
        <v>0</v>
      </c>
      <c r="K29" s="13">
        <f>IF(Вводные!$D$36="Да",IF(IF(-K55&lt;'Налоговые вычеты'!$E$4,K6*Вводные!$D$37*-1,('Налоговые вычеты'!$E$4+J55)*Вводные!$D$37)&lt;0,0,IF(-K55&lt;'Налоговые вычеты'!$E$4,K6*Вводные!$D$37*-1,('Налоговые вычеты'!$E$4+J55)*Вводные!$D$37)),0)</f>
        <v>0</v>
      </c>
      <c r="L29" s="13">
        <f>IF(Вводные!$D$36="Да",IF(IF(-L55&lt;'Налоговые вычеты'!$E$4,L6*Вводные!$D$37*-1,('Налоговые вычеты'!$E$4+K55)*Вводные!$D$37)&lt;0,0,IF(-L55&lt;'Налоговые вычеты'!$E$4,L6*Вводные!$D$37*-1,('Налоговые вычеты'!$E$4+K55)*Вводные!$D$37)),0)</f>
        <v>0</v>
      </c>
      <c r="M29" s="13">
        <f>IF(Вводные!$D$36="Да",IF(IF(-M55&lt;'Налоговые вычеты'!$E$4,M6*Вводные!$D$37*-1,('Налоговые вычеты'!$E$4+L55)*Вводные!$D$37)&lt;0,0,IF(-M55&lt;'Налоговые вычеты'!$E$4,M6*Вводные!$D$37*-1,('Налоговые вычеты'!$E$4+L55)*Вводные!$D$37)),0)</f>
        <v>0</v>
      </c>
      <c r="N29" s="13">
        <f>IF(Вводные!$D$36="Да",IF(IF(-N55&lt;'Налоговые вычеты'!$E$4,N6*Вводные!$D$37*-1,('Налоговые вычеты'!$E$4+M55)*Вводные!$D$37)&lt;0,0,IF(-N55&lt;'Налоговые вычеты'!$E$4,N6*Вводные!$D$37*-1,('Налоговые вычеты'!$E$4+M55)*Вводные!$D$37)),0)</f>
        <v>0</v>
      </c>
      <c r="O29" s="13">
        <f>IF(Вводные!$D$36="Да",IF(IF(-O55&lt;'Налоговые вычеты'!$E$4,O6*Вводные!$D$37*-1,('Налоговые вычеты'!$E$4+N55)*Вводные!$D$37)&lt;0,0,IF(-O55&lt;'Налоговые вычеты'!$E$4,O6*Вводные!$D$37*-1,('Налоговые вычеты'!$E$4+N55)*Вводные!$D$37)),0)</f>
        <v>0</v>
      </c>
      <c r="P29" s="13">
        <f>IF(Вводные!$D$36="Да",IF(IF(-P55&lt;'Налоговые вычеты'!$E$4,P6*Вводные!$D$37*-1,('Налоговые вычеты'!$E$4+O55)*Вводные!$D$37)&lt;0,0,IF(-P55&lt;'Налоговые вычеты'!$E$4,P6*Вводные!$D$37*-1,('Налоговые вычеты'!$E$4+O55)*Вводные!$D$37)),0)</f>
        <v>0</v>
      </c>
      <c r="Q29" s="13">
        <f>IF(Вводные!$D$36="Да",IF(IF(-Q55&lt;'Налоговые вычеты'!$E$4,Q6*Вводные!$D$37*-1,('Налоговые вычеты'!$E$4+P55)*Вводные!$D$37)&lt;0,0,IF(-Q55&lt;'Налоговые вычеты'!$E$4,Q6*Вводные!$D$37*-1,('Налоговые вычеты'!$E$4+P55)*Вводные!$D$37)),0)</f>
        <v>0</v>
      </c>
      <c r="R29" s="13">
        <f>IF(Вводные!$D$36="Да",IF(IF(-R55&lt;'Налоговые вычеты'!$E$4,R6*Вводные!$D$37*-1,('Налоговые вычеты'!$E$4+Q55)*Вводные!$D$37)&lt;0,0,IF(-R55&lt;'Налоговые вычеты'!$E$4,R6*Вводные!$D$37*-1,('Налоговые вычеты'!$E$4+Q55)*Вводные!$D$37)),0)</f>
        <v>0</v>
      </c>
      <c r="S29" s="13">
        <f>IF(Вводные!$D$36="Да",IF(IF(-S55&lt;'Налоговые вычеты'!$E$4,S6*Вводные!$D$37*-1,('Налоговые вычеты'!$E$4+R55)*Вводные!$D$37)&lt;0,0,IF(-S55&lt;'Налоговые вычеты'!$E$4,S6*Вводные!$D$37*-1,('Налоговые вычеты'!$E$4+R55)*Вводные!$D$37)),0)</f>
        <v>0</v>
      </c>
      <c r="T29" s="13">
        <f>IF(Вводные!$D$36="Да",IF(IF(-T55&lt;'Налоговые вычеты'!$E$4,T6*Вводные!$D$37*-1,('Налоговые вычеты'!$E$4+S55)*Вводные!$D$37)&lt;0,0,IF(-T55&lt;'Налоговые вычеты'!$E$4,T6*Вводные!$D$37*-1,('Налоговые вычеты'!$E$4+S55)*Вводные!$D$37)),0)</f>
        <v>0</v>
      </c>
      <c r="U29" s="13">
        <f>IF(Вводные!$D$36="Да",IF(IF(-U55&lt;'Налоговые вычеты'!$E$4,U6*Вводные!$D$37*-1,('Налоговые вычеты'!$E$4+T55)*Вводные!$D$37)&lt;0,0,IF(-U55&lt;'Налоговые вычеты'!$E$4,U6*Вводные!$D$37*-1,('Налоговые вычеты'!$E$4+T55)*Вводные!$D$37)),0)</f>
        <v>0</v>
      </c>
      <c r="V29" s="13">
        <f>IF(Вводные!$D$36="Да",IF(IF(-V55&lt;'Налоговые вычеты'!$E$4,V6*Вводные!$D$37*-1,('Налоговые вычеты'!$E$4+U55)*Вводные!$D$37)&lt;0,0,IF(-V55&lt;'Налоговые вычеты'!$E$4,V6*Вводные!$D$37*-1,('Налоговые вычеты'!$E$4+U55)*Вводные!$D$37)),0)</f>
        <v>0</v>
      </c>
      <c r="W29" s="13">
        <f>IF(Вводные!$D$36="Да",IF(IF(-W55&lt;'Налоговые вычеты'!$E$4,W6*Вводные!$D$37*-1,('Налоговые вычеты'!$E$4+V55)*Вводные!$D$37)&lt;0,0,IF(-W55&lt;'Налоговые вычеты'!$E$4,W6*Вводные!$D$37*-1,('Налоговые вычеты'!$E$4+V55)*Вводные!$D$37)),0)</f>
        <v>0</v>
      </c>
      <c r="X29" s="13">
        <f>IF(Вводные!$D$36="Да",IF(IF(-X55&lt;'Налоговые вычеты'!$E$4,X6*Вводные!$D$37*-1,('Налоговые вычеты'!$E$4+W55)*Вводные!$D$37)&lt;0,0,IF(-X55&lt;'Налоговые вычеты'!$E$4,X6*Вводные!$D$37*-1,('Налоговые вычеты'!$E$4+W55)*Вводные!$D$37)),0)</f>
        <v>0</v>
      </c>
      <c r="Y29" s="13">
        <f>IF(Вводные!$D$36="Да",IF(IF(-Y55&lt;'Налоговые вычеты'!$E$4,Y6*Вводные!$D$37*-1,('Налоговые вычеты'!$E$4+X55)*Вводные!$D$37)&lt;0,0,IF(-Y55&lt;'Налоговые вычеты'!$E$4,Y6*Вводные!$D$37*-1,('Налоговые вычеты'!$E$4+X55)*Вводные!$D$37)),0)</f>
        <v>0</v>
      </c>
      <c r="Z29" s="13">
        <f>IF(Вводные!$D$36="Да",IF(IF(-Z55&lt;'Налоговые вычеты'!$E$4,Z6*Вводные!$D$37*-1,('Налоговые вычеты'!$E$4+Y55)*Вводные!$D$37)&lt;0,0,IF(-Z55&lt;'Налоговые вычеты'!$E$4,Z6*Вводные!$D$37*-1,('Налоговые вычеты'!$E$4+Y55)*Вводные!$D$37)),0)</f>
        <v>0</v>
      </c>
      <c r="AA29" s="13">
        <f>IF(Вводные!$D$36="Да",IF(IF(-AA55&lt;'Налоговые вычеты'!$E$4,AA6*Вводные!$D$37*-1,('Налоговые вычеты'!$E$4+Z55)*Вводные!$D$37)&lt;0,0,IF(-AA55&lt;'Налоговые вычеты'!$E$4,AA6*Вводные!$D$37*-1,('Налоговые вычеты'!$E$4+Z55)*Вводные!$D$37)),0)</f>
        <v>0</v>
      </c>
      <c r="AB29" s="13">
        <f>IF(Вводные!$D$36="Да",IF(IF(-AB55&lt;'Налоговые вычеты'!$E$4,AB6*Вводные!$D$37*-1,('Налоговые вычеты'!$E$4+AA55)*Вводные!$D$37)&lt;0,0,IF(-AB55&lt;'Налоговые вычеты'!$E$4,AB6*Вводные!$D$37*-1,('Налоговые вычеты'!$E$4+AA55)*Вводные!$D$37)),0)</f>
        <v>0</v>
      </c>
      <c r="AC29" s="13">
        <f>IF(Вводные!$D$36="Да",IF(IF(-AC55&lt;'Налоговые вычеты'!$E$4,AC6*Вводные!$D$37*-1,('Налоговые вычеты'!$E$4+AB55)*Вводные!$D$37)&lt;0,0,IF(-AC55&lt;'Налоговые вычеты'!$E$4,AC6*Вводные!$D$37*-1,('Налоговые вычеты'!$E$4+AB55)*Вводные!$D$37)),0)</f>
        <v>0</v>
      </c>
      <c r="AD29" s="13">
        <f>IF(Вводные!$D$36="Да",IF(IF(-AD55&lt;'Налоговые вычеты'!$E$4,AD6*Вводные!$D$37*-1,('Налоговые вычеты'!$E$4+AC55)*Вводные!$D$37)&lt;0,0,IF(-AD55&lt;'Налоговые вычеты'!$E$4,AD6*Вводные!$D$37*-1,('Налоговые вычеты'!$E$4+AC55)*Вводные!$D$37)),0)</f>
        <v>0</v>
      </c>
      <c r="AE29" s="13">
        <f>IF(Вводные!$D$36="Да",IF(IF(-AE55&lt;'Налоговые вычеты'!$E$4,AE6*Вводные!$D$37*-1,('Налоговые вычеты'!$E$4+AD55)*Вводные!$D$37)&lt;0,0,IF(-AE55&lt;'Налоговые вычеты'!$E$4,AE6*Вводные!$D$37*-1,('Налоговые вычеты'!$E$4+AD55)*Вводные!$D$37)),0)</f>
        <v>0</v>
      </c>
      <c r="AF29" s="13">
        <f>IF(Вводные!$D$36="Да",IF(IF(-AF55&lt;'Налоговые вычеты'!$E$4,AF6*Вводные!$D$37*-1,('Налоговые вычеты'!$E$4+AE55)*Вводные!$D$37)&lt;0,0,IF(-AF55&lt;'Налоговые вычеты'!$E$4,AF6*Вводные!$D$37*-1,('Налоговые вычеты'!$E$4+AE55)*Вводные!$D$37)),0)</f>
        <v>0</v>
      </c>
      <c r="AG29" s="13">
        <f>IF(Вводные!$D$36="Да",IF(IF(-AG55&lt;'Налоговые вычеты'!$E$4,AG6*Вводные!$D$37*-1,('Налоговые вычеты'!$E$4+AF55)*Вводные!$D$37)&lt;0,0,IF(-AG55&lt;'Налоговые вычеты'!$E$4,AG6*Вводные!$D$37*-1,('Налоговые вычеты'!$E$4+AF55)*Вводные!$D$37)),0)</f>
        <v>0</v>
      </c>
      <c r="AH29" s="13">
        <f>IF(Вводные!$D$36="Да",IF(IF(-AH55&lt;'Налоговые вычеты'!$E$4,AH6*Вводные!$D$37*-1,('Налоговые вычеты'!$E$4+AG55)*Вводные!$D$37)&lt;0,0,IF(-AH55&lt;'Налоговые вычеты'!$E$4,AH6*Вводные!$D$37*-1,('Налоговые вычеты'!$E$4+AG55)*Вводные!$D$37)),0)</f>
        <v>0</v>
      </c>
      <c r="AI29" s="13">
        <f>IF(Вводные!$D$36="Да",IF(IF(-AI55&lt;'Налоговые вычеты'!$E$4,AI6*Вводные!$D$37*-1,('Налоговые вычеты'!$E$4+AH55)*Вводные!$D$37)&lt;0,0,IF(-AI55&lt;'Налоговые вычеты'!$E$4,AI6*Вводные!$D$37*-1,('Налоговые вычеты'!$E$4+AH55)*Вводные!$D$37)),0)</f>
        <v>0</v>
      </c>
      <c r="AJ29" s="13">
        <f>IF(Вводные!$D$36="Да",IF(IF(-AJ55&lt;'Налоговые вычеты'!$E$4,AJ6*Вводные!$D$37*-1,('Налоговые вычеты'!$E$4+AI55)*Вводные!$D$37)&lt;0,0,IF(-AJ55&lt;'Налоговые вычеты'!$E$4,AJ6*Вводные!$D$37*-1,('Налоговые вычеты'!$E$4+AI55)*Вводные!$D$37)),0)</f>
        <v>0</v>
      </c>
      <c r="AK29" s="13">
        <f>IF(Вводные!$D$36="Да",IF(IF(-AK55&lt;'Налоговые вычеты'!$E$4,AK6*Вводные!$D$37*-1,('Налоговые вычеты'!$E$4+AJ55)*Вводные!$D$37)&lt;0,0,IF(-AK55&lt;'Налоговые вычеты'!$E$4,AK6*Вводные!$D$37*-1,('Налоговые вычеты'!$E$4+AJ55)*Вводные!$D$37)),0)</f>
        <v>0</v>
      </c>
      <c r="AL29" s="13">
        <f>IF(Вводные!$D$36="Да",IF(IF(-AL55&lt;'Налоговые вычеты'!$E$4,AL6*Вводные!$D$37*-1,('Налоговые вычеты'!$E$4+AK55)*Вводные!$D$37)&lt;0,0,IF(-AL55&lt;'Налоговые вычеты'!$E$4,AL6*Вводные!$D$37*-1,('Налоговые вычеты'!$E$4+AK55)*Вводные!$D$37)),0)</f>
        <v>0</v>
      </c>
      <c r="AM29" s="13">
        <f>IF(Вводные!$D$36="Да",IF(IF(-AM55&lt;'Налоговые вычеты'!$E$4,AM6*Вводные!$D$37*-1,('Налоговые вычеты'!$E$4+AL55)*Вводные!$D$37)&lt;0,0,IF(-AM55&lt;'Налоговые вычеты'!$E$4,AM6*Вводные!$D$37*-1,('Налоговые вычеты'!$E$4+AL55)*Вводные!$D$37)),0)</f>
        <v>0</v>
      </c>
      <c r="AN29" s="13">
        <f>IF(Вводные!$D$36="Да",IF(IF(-AN55&lt;'Налоговые вычеты'!$E$4,AN6*Вводные!$D$37*-1,('Налоговые вычеты'!$E$4+AM55)*Вводные!$D$37)&lt;0,0,IF(-AN55&lt;'Налоговые вычеты'!$E$4,AN6*Вводные!$D$37*-1,('Налоговые вычеты'!$E$4+AM55)*Вводные!$D$37)),0)</f>
        <v>0</v>
      </c>
      <c r="AO29" s="13">
        <f>IF(Вводные!$D$36="Да",IF(IF(-AO55&lt;'Налоговые вычеты'!$E$4,AO6*Вводные!$D$37*-1,('Налоговые вычеты'!$E$4+AN55)*Вводные!$D$37)&lt;0,0,IF(-AO55&lt;'Налоговые вычеты'!$E$4,AO6*Вводные!$D$37*-1,('Налоговые вычеты'!$E$4+AN55)*Вводные!$D$37)),0)</f>
        <v>0</v>
      </c>
      <c r="AP29" s="13">
        <f>IF(Вводные!$D$36="Да",IF(IF(-AP55&lt;'Налоговые вычеты'!$E$4,AP6*Вводные!$D$37*-1,('Налоговые вычеты'!$E$4+AO55)*Вводные!$D$37)&lt;0,0,IF(-AP55&lt;'Налоговые вычеты'!$E$4,AP6*Вводные!$D$37*-1,('Налоговые вычеты'!$E$4+AO55)*Вводные!$D$37)),0)</f>
        <v>0</v>
      </c>
      <c r="AQ29" s="13">
        <f>IF(Вводные!$D$36="Да",IF(IF(-AQ55&lt;'Налоговые вычеты'!$E$4,AQ6*Вводные!$D$37*-1,('Налоговые вычеты'!$E$4+AP55)*Вводные!$D$37)&lt;0,0,IF(-AQ55&lt;'Налоговые вычеты'!$E$4,AQ6*Вводные!$D$37*-1,('Налоговые вычеты'!$E$4+AP55)*Вводные!$D$37)),0)</f>
        <v>0</v>
      </c>
      <c r="AR29" s="13">
        <f>IF(Вводные!$D$36="Да",IF(IF(-AR55&lt;'Налоговые вычеты'!$E$4,AR6*Вводные!$D$37*-1,('Налоговые вычеты'!$E$4+AQ55)*Вводные!$D$37)&lt;0,0,IF(-AR55&lt;'Налоговые вычеты'!$E$4,AR6*Вводные!$D$37*-1,('Налоговые вычеты'!$E$4+AQ55)*Вводные!$D$37)),0)</f>
        <v>0</v>
      </c>
      <c r="AS29" s="13">
        <f>IF(Вводные!$D$36="Да",IF(IF(-AS55&lt;'Налоговые вычеты'!$E$4,AS6*Вводные!$D$37*-1,('Налоговые вычеты'!$E$4+AR55)*Вводные!$D$37)&lt;0,0,IF(-AS55&lt;'Налоговые вычеты'!$E$4,AS6*Вводные!$D$37*-1,('Налоговые вычеты'!$E$4+AR55)*Вводные!$D$37)),0)</f>
        <v>0</v>
      </c>
      <c r="AT29" s="13">
        <f>IF(Вводные!$D$36="Да",IF(IF(-AT55&lt;'Налоговые вычеты'!$E$4,AT6*Вводные!$D$37*-1,('Налоговые вычеты'!$E$4+AS55)*Вводные!$D$37)&lt;0,0,IF(-AT55&lt;'Налоговые вычеты'!$E$4,AT6*Вводные!$D$37*-1,('Налоговые вычеты'!$E$4+AS55)*Вводные!$D$37)),0)</f>
        <v>0</v>
      </c>
      <c r="AU29" s="13">
        <f>IF(Вводные!$D$36="Да",IF(IF(-AU55&lt;'Налоговые вычеты'!$E$4,AU6*Вводные!$D$37*-1,('Налоговые вычеты'!$E$4+AT55)*Вводные!$D$37)&lt;0,0,IF(-AU55&lt;'Налоговые вычеты'!$E$4,AU6*Вводные!$D$37*-1,('Налоговые вычеты'!$E$4+AT55)*Вводные!$D$37)),0)</f>
        <v>0</v>
      </c>
      <c r="AV29" s="13">
        <f>IF(Вводные!$D$36="Да",IF(IF(-AV55&lt;'Налоговые вычеты'!$E$4,AV6*Вводные!$D$37*-1,('Налоговые вычеты'!$E$4+AU55)*Вводные!$D$37)&lt;0,0,IF(-AV55&lt;'Налоговые вычеты'!$E$4,AV6*Вводные!$D$37*-1,('Налоговые вычеты'!$E$4+AU55)*Вводные!$D$37)),0)</f>
        <v>0</v>
      </c>
      <c r="AW29" s="13">
        <f>IF(Вводные!$D$36="Да",IF(IF(-AW55&lt;'Налоговые вычеты'!$E$4,AW6*Вводные!$D$37*-1,('Налоговые вычеты'!$E$4+AV55)*Вводные!$D$37)&lt;0,0,IF(-AW55&lt;'Налоговые вычеты'!$E$4,AW6*Вводные!$D$37*-1,('Налоговые вычеты'!$E$4+AV55)*Вводные!$D$37)),0)</f>
        <v>0</v>
      </c>
      <c r="AX29" s="13">
        <f>IF(Вводные!$D$36="Да",IF(IF(-AX55&lt;'Налоговые вычеты'!$E$4,AX6*Вводные!$D$37*-1,('Налоговые вычеты'!$E$4+AW55)*Вводные!$D$37)&lt;0,0,IF(-AX55&lt;'Налоговые вычеты'!$E$4,AX6*Вводные!$D$37*-1,('Налоговые вычеты'!$E$4+AW55)*Вводные!$D$37)),0)</f>
        <v>0</v>
      </c>
      <c r="AY29" s="13">
        <f>IF(Вводные!$D$36="Да",IF(IF(-AY55&lt;'Налоговые вычеты'!$E$4,AY6*Вводные!$D$37*-1,('Налоговые вычеты'!$E$4+AX55)*Вводные!$D$37)&lt;0,0,IF(-AY55&lt;'Налоговые вычеты'!$E$4,AY6*Вводные!$D$37*-1,('Налоговые вычеты'!$E$4+AX55)*Вводные!$D$37)),0)</f>
        <v>0</v>
      </c>
      <c r="AZ29" s="13">
        <f>IF(Вводные!$D$36="Да",IF(IF(-AZ55&lt;'Налоговые вычеты'!$E$4,AZ6*Вводные!$D$37*-1,('Налоговые вычеты'!$E$4+AY55)*Вводные!$D$37)&lt;0,0,IF(-AZ55&lt;'Налоговые вычеты'!$E$4,AZ6*Вводные!$D$37*-1,('Налоговые вычеты'!$E$4+AY55)*Вводные!$D$37)),0)</f>
        <v>0</v>
      </c>
      <c r="BA29" s="13">
        <f>IF(Вводные!$D$36="Да",IF(IF(-BA55&lt;'Налоговые вычеты'!$E$4,BA6*Вводные!$D$37*-1,('Налоговые вычеты'!$E$4+AZ55)*Вводные!$D$37)&lt;0,0,IF(-BA55&lt;'Налоговые вычеты'!$E$4,BA6*Вводные!$D$37*-1,('Налоговые вычеты'!$E$4+AZ55)*Вводные!$D$37)),0)</f>
        <v>0</v>
      </c>
      <c r="BB29" s="13">
        <f>IF(Вводные!$D$36="Да",IF(IF(-BB55&lt;'Налоговые вычеты'!$E$4,BB6*Вводные!$D$37*-1,('Налоговые вычеты'!$E$4+BA55)*Вводные!$D$37)&lt;0,0,IF(-BB55&lt;'Налоговые вычеты'!$E$4,BB6*Вводные!$D$37*-1,('Налоговые вычеты'!$E$4+BA55)*Вводные!$D$37)),0)</f>
        <v>0</v>
      </c>
    </row>
    <row r="30" spans="2:54" s="96" customFormat="1" x14ac:dyDescent="0.2">
      <c r="B30" s="105" t="s">
        <v>148</v>
      </c>
      <c r="C30" s="105"/>
      <c r="D30" s="106">
        <f>D24</f>
        <v>-3500000</v>
      </c>
      <c r="E30" s="106">
        <f>IF(Вводные!$D$11="Да",E24+E28+E29,Покупка!E24+Покупка!E28)</f>
        <v>-683784.37143713341</v>
      </c>
      <c r="F30" s="106">
        <f>IF(Вводные!$D$11="Да",F24+F28+F29,Покупка!F24+Покупка!F28)</f>
        <v>-950638.22642259113</v>
      </c>
      <c r="G30" s="106">
        <f>IF(Вводные!$D$11="Да",G24+G28+G29,Покупка!G24+Покупка!G28)</f>
        <v>-958216.82035486191</v>
      </c>
      <c r="H30" s="106">
        <f>IF(Вводные!$D$11="Да",H24+H28+H29,Покупка!H24+Покупка!H28)</f>
        <v>-989313.6948129005</v>
      </c>
      <c r="I30" s="106">
        <f>IF(Вводные!$D$11="Да",I24+I28+I29,Покупка!I24+Покупка!I28)</f>
        <v>-1069686.1303528717</v>
      </c>
      <c r="J30" s="106">
        <f>IF(Вводные!$D$11="Да",J24+J28+J29,Покупка!J24+Покупка!J28)</f>
        <v>-1075225.1765905118</v>
      </c>
      <c r="K30" s="106">
        <f>IF(Вводные!$D$11="Да",K24+K28+K29,Покупка!K24+Покупка!K28)</f>
        <v>-1081262.7369895391</v>
      </c>
      <c r="L30" s="106">
        <f>IF(Вводные!$D$11="Да",L24+L28+L29,Покупка!L24+Покупка!L28)</f>
        <v>-1087843.6778244793</v>
      </c>
      <c r="M30" s="106">
        <f>IF(Вводные!$D$11="Да",M24+M28+M29,Покупка!M24+Покупка!M28)</f>
        <v>-1095016.9033345638</v>
      </c>
      <c r="N30" s="106">
        <f>IF(Вводные!$D$11="Да",N24+N28+N29,Покупка!N24+Покупка!N28)</f>
        <v>-1102835.7191405564</v>
      </c>
      <c r="O30" s="106">
        <f>IF(Вводные!$D$11="Да",O24+O28+O29,Покупка!O24+Покупка!O28)</f>
        <v>-1111358.2283690884</v>
      </c>
      <c r="P30" s="106">
        <f>IF(Вводные!$D$11="Да",P24+P28+P29,Покупка!P24+Покупка!P28)</f>
        <v>-1120647.7634281875</v>
      </c>
      <c r="Q30" s="106">
        <f>IF(Вводные!$D$11="Да",Q24+Q28+Q29,Покупка!Q24+Покупка!Q28)</f>
        <v>-1130773.3566426062</v>
      </c>
      <c r="R30" s="106">
        <f>IF(Вводные!$D$11="Да",R24+R28+R29,Покупка!R24+Покупка!R28)</f>
        <v>-1141810.253246322</v>
      </c>
      <c r="S30" s="106">
        <f>IF(Вводные!$D$11="Да",S24+S28+S29,Покупка!S24+Покупка!S28)</f>
        <v>-1153840.4705443725</v>
      </c>
      <c r="T30" s="106">
        <f>IF(Вводные!$D$11="Да",T24+T28+T29,Покупка!T24+Покупка!T28)</f>
        <v>0</v>
      </c>
      <c r="U30" s="106">
        <f>IF(Вводные!$D$11="Да",U24+U28+U29,Покупка!U24+Покупка!U28)</f>
        <v>0</v>
      </c>
      <c r="V30" s="106">
        <f>IF(Вводные!$D$11="Да",V24+V28+V29,Покупка!V24+Покупка!V28)</f>
        <v>0</v>
      </c>
      <c r="W30" s="106">
        <f>IF(Вводные!$D$11="Да",W24+W28+W29,Покупка!W24+Покупка!W28)</f>
        <v>0</v>
      </c>
      <c r="X30" s="106">
        <f>IF(Вводные!$D$11="Да",X24+X28+X29,Покупка!X24+Покупка!X28)</f>
        <v>0</v>
      </c>
      <c r="Y30" s="106">
        <f>IF(Вводные!$D$11="Да",Y24+Y28+Y29,Покупка!Y24+Покупка!Y28)</f>
        <v>0</v>
      </c>
      <c r="Z30" s="106">
        <f>IF(Вводные!$D$11="Да",Z24+Z28+Z29,Покупка!Z24+Покупка!Z28)</f>
        <v>0</v>
      </c>
      <c r="AA30" s="106">
        <f>IF(Вводные!$D$11="Да",AA24+AA28+AA29,Покупка!AA24+Покупка!AA28)</f>
        <v>0</v>
      </c>
      <c r="AB30" s="106">
        <f>IF(Вводные!$D$11="Да",AB24+AB28+AB29,Покупка!AB24+Покупка!AB28)</f>
        <v>0</v>
      </c>
      <c r="AC30" s="106">
        <f>IF(Вводные!$D$11="Да",AC24+AC28+AC29,Покупка!AC24+Покупка!AC28)</f>
        <v>0</v>
      </c>
      <c r="AD30" s="106">
        <f>IF(Вводные!$D$11="Да",AD24+AD28+AD29,Покупка!AD24+Покупка!AD28)</f>
        <v>0</v>
      </c>
      <c r="AE30" s="106">
        <f>IF(Вводные!$D$11="Да",AE24+AE28+AE29,Покупка!AE24+Покупка!AE28)</f>
        <v>0</v>
      </c>
      <c r="AF30" s="106">
        <f>IF(Вводные!$D$11="Да",AF24+AF28+AF29,Покупка!AF24+Покупка!AF28)</f>
        <v>0</v>
      </c>
      <c r="AG30" s="106">
        <f>IF(Вводные!$D$11="Да",AG24+AG28+AG29,Покупка!AG24+Покупка!AG28)</f>
        <v>0</v>
      </c>
      <c r="AH30" s="106">
        <f>IF(Вводные!$D$11="Да",AH24+AH28+AH29,Покупка!AH24+Покупка!AH28)</f>
        <v>0</v>
      </c>
      <c r="AI30" s="106">
        <f>IF(Вводные!$D$11="Да",AI24+AI28+AI29,Покупка!AI24+Покупка!AI28)</f>
        <v>0</v>
      </c>
      <c r="AJ30" s="106">
        <f>IF(Вводные!$D$11="Да",AJ24+AJ28+AJ29,Покупка!AJ24+Покупка!AJ28)</f>
        <v>0</v>
      </c>
      <c r="AK30" s="106">
        <f>IF(Вводные!$D$11="Да",AK24+AK28+AK29,Покупка!AK24+Покупка!AK28)</f>
        <v>0</v>
      </c>
      <c r="AL30" s="106">
        <f>IF(Вводные!$D$11="Да",AL24+AL28+AL29,Покупка!AL24+Покупка!AL28)</f>
        <v>0</v>
      </c>
      <c r="AM30" s="106">
        <f>IF(Вводные!$D$11="Да",AM24+AM28+AM29,Покупка!AM24+Покупка!AM28)</f>
        <v>0</v>
      </c>
      <c r="AN30" s="106">
        <f>IF(Вводные!$D$11="Да",AN24+AN28+AN29,Покупка!AN24+Покупка!AN28)</f>
        <v>0</v>
      </c>
      <c r="AO30" s="106">
        <f>IF(Вводные!$D$11="Да",AO24+AO28+AO29,Покупка!AO24+Покупка!AO28)</f>
        <v>0</v>
      </c>
      <c r="AP30" s="106">
        <f>IF(Вводные!$D$11="Да",AP24+AP28+AP29,Покупка!AP24+Покупка!AP28)</f>
        <v>0</v>
      </c>
      <c r="AQ30" s="106">
        <f>IF(Вводные!$D$11="Да",AQ24+AQ28+AQ29,Покупка!AQ24+Покупка!AQ28)</f>
        <v>0</v>
      </c>
      <c r="AR30" s="106">
        <f>IF(Вводные!$D$11="Да",AR24+AR28+AR29,Покупка!AR24+Покупка!AR28)</f>
        <v>0</v>
      </c>
      <c r="AS30" s="106">
        <f>IF(Вводные!$D$11="Да",AS24+AS28+AS29,Покупка!AS24+Покупка!AS28)</f>
        <v>0</v>
      </c>
      <c r="AT30" s="106">
        <f>IF(Вводные!$D$11="Да",AT24+AT28+AT29,Покупка!AT24+Покупка!AT28)</f>
        <v>0</v>
      </c>
      <c r="AU30" s="106">
        <f>IF(Вводные!$D$11="Да",AU24+AU28+AU29,Покупка!AU24+Покупка!AU28)</f>
        <v>0</v>
      </c>
      <c r="AV30" s="106">
        <f>IF(Вводные!$D$11="Да",AV24+AV28+AV29,Покупка!AV24+Покупка!AV28)</f>
        <v>0</v>
      </c>
      <c r="AW30" s="106">
        <f>IF(Вводные!$D$11="Да",AW24+AW28+AW29,Покупка!AW24+Покупка!AW28)</f>
        <v>0</v>
      </c>
      <c r="AX30" s="106">
        <f>IF(Вводные!$D$11="Да",AX24+AX28+AX29,Покупка!AX24+Покупка!AX28)</f>
        <v>0</v>
      </c>
      <c r="AY30" s="106">
        <f>IF(Вводные!$D$11="Да",AY24+AY28+AY29,Покупка!AY24+Покупка!AY28)</f>
        <v>0</v>
      </c>
      <c r="AZ30" s="106">
        <f>IF(Вводные!$D$11="Да",AZ24+AZ28+AZ29,Покупка!AZ24+Покупка!AZ28)</f>
        <v>0</v>
      </c>
      <c r="BA30" s="106">
        <f>IF(Вводные!$D$11="Да",BA24+BA28+BA29,Покупка!BA24+Покупка!BA28)</f>
        <v>0</v>
      </c>
      <c r="BB30" s="106">
        <f>IF(Вводные!$D$11="Да",BB24+BB28+BB29,Покупка!BB24+Покупка!BB28)</f>
        <v>0</v>
      </c>
    </row>
    <row r="31" spans="2:54" s="99" customFormat="1" x14ac:dyDescent="0.2">
      <c r="B31" s="99" t="s">
        <v>149</v>
      </c>
      <c r="E31" s="100">
        <f>E30/12</f>
        <v>-56982.030953094451</v>
      </c>
      <c r="F31" s="100">
        <f t="shared" ref="F31:BB31" si="6">F30/12</f>
        <v>-79219.85220188259</v>
      </c>
      <c r="G31" s="100">
        <f t="shared" si="6"/>
        <v>-79851.401696238492</v>
      </c>
      <c r="H31" s="100">
        <f t="shared" si="6"/>
        <v>-82442.807901075037</v>
      </c>
      <c r="I31" s="100">
        <f t="shared" si="6"/>
        <v>-89140.510862739306</v>
      </c>
      <c r="J31" s="100">
        <f t="shared" si="6"/>
        <v>-89602.098049209322</v>
      </c>
      <c r="K31" s="100">
        <f t="shared" si="6"/>
        <v>-90105.228082461588</v>
      </c>
      <c r="L31" s="100">
        <f t="shared" si="6"/>
        <v>-90653.639818706608</v>
      </c>
      <c r="M31" s="100">
        <f t="shared" si="6"/>
        <v>-91251.408611213657</v>
      </c>
      <c r="N31" s="100">
        <f t="shared" si="6"/>
        <v>-91902.976595046362</v>
      </c>
      <c r="O31" s="100">
        <f t="shared" si="6"/>
        <v>-92613.185697424036</v>
      </c>
      <c r="P31" s="100">
        <f t="shared" si="6"/>
        <v>-93387.313619015622</v>
      </c>
      <c r="Q31" s="100">
        <f t="shared" si="6"/>
        <v>-94231.113053550522</v>
      </c>
      <c r="R31" s="100">
        <f t="shared" si="6"/>
        <v>-95150.854437193499</v>
      </c>
      <c r="S31" s="100">
        <f t="shared" si="6"/>
        <v>-96153.372545364371</v>
      </c>
      <c r="T31" s="100">
        <f t="shared" si="6"/>
        <v>0</v>
      </c>
      <c r="U31" s="100">
        <f t="shared" si="6"/>
        <v>0</v>
      </c>
      <c r="V31" s="100">
        <f t="shared" si="6"/>
        <v>0</v>
      </c>
      <c r="W31" s="100">
        <f t="shared" si="6"/>
        <v>0</v>
      </c>
      <c r="X31" s="100">
        <f t="shared" si="6"/>
        <v>0</v>
      </c>
      <c r="Y31" s="100">
        <f t="shared" si="6"/>
        <v>0</v>
      </c>
      <c r="Z31" s="100">
        <f t="shared" si="6"/>
        <v>0</v>
      </c>
      <c r="AA31" s="100">
        <f t="shared" si="6"/>
        <v>0</v>
      </c>
      <c r="AB31" s="100">
        <f t="shared" si="6"/>
        <v>0</v>
      </c>
      <c r="AC31" s="100">
        <f t="shared" si="6"/>
        <v>0</v>
      </c>
      <c r="AD31" s="100">
        <f t="shared" si="6"/>
        <v>0</v>
      </c>
      <c r="AE31" s="100">
        <f t="shared" si="6"/>
        <v>0</v>
      </c>
      <c r="AF31" s="100">
        <f t="shared" si="6"/>
        <v>0</v>
      </c>
      <c r="AG31" s="100">
        <f t="shared" si="6"/>
        <v>0</v>
      </c>
      <c r="AH31" s="100">
        <f t="shared" si="6"/>
        <v>0</v>
      </c>
      <c r="AI31" s="100">
        <f t="shared" si="6"/>
        <v>0</v>
      </c>
      <c r="AJ31" s="100">
        <f t="shared" si="6"/>
        <v>0</v>
      </c>
      <c r="AK31" s="100">
        <f t="shared" si="6"/>
        <v>0</v>
      </c>
      <c r="AL31" s="100">
        <f t="shared" si="6"/>
        <v>0</v>
      </c>
      <c r="AM31" s="100">
        <f t="shared" si="6"/>
        <v>0</v>
      </c>
      <c r="AN31" s="100">
        <f t="shared" si="6"/>
        <v>0</v>
      </c>
      <c r="AO31" s="100">
        <f t="shared" si="6"/>
        <v>0</v>
      </c>
      <c r="AP31" s="100">
        <f t="shared" si="6"/>
        <v>0</v>
      </c>
      <c r="AQ31" s="100">
        <f t="shared" si="6"/>
        <v>0</v>
      </c>
      <c r="AR31" s="100">
        <f t="shared" si="6"/>
        <v>0</v>
      </c>
      <c r="AS31" s="100">
        <f t="shared" si="6"/>
        <v>0</v>
      </c>
      <c r="AT31" s="100">
        <f t="shared" si="6"/>
        <v>0</v>
      </c>
      <c r="AU31" s="100">
        <f t="shared" si="6"/>
        <v>0</v>
      </c>
      <c r="AV31" s="100">
        <f t="shared" si="6"/>
        <v>0</v>
      </c>
      <c r="AW31" s="100">
        <f t="shared" si="6"/>
        <v>0</v>
      </c>
      <c r="AX31" s="100">
        <f t="shared" si="6"/>
        <v>0</v>
      </c>
      <c r="AY31" s="100">
        <f t="shared" si="6"/>
        <v>0</v>
      </c>
      <c r="AZ31" s="100">
        <f t="shared" si="6"/>
        <v>0</v>
      </c>
      <c r="BA31" s="100">
        <f t="shared" si="6"/>
        <v>0</v>
      </c>
      <c r="BB31" s="100">
        <f t="shared" si="6"/>
        <v>0</v>
      </c>
    </row>
    <row r="32" spans="2:54" s="99" customFormat="1" x14ac:dyDescent="0.2">
      <c r="B32" s="99" t="s">
        <v>140</v>
      </c>
      <c r="F32" s="101">
        <f>IFERROR(IF(F30-E30=-E30,"",F30/E30-1),"")</f>
        <v>0.39026024304211826</v>
      </c>
      <c r="G32" s="101">
        <f t="shared" ref="G32:BB32" si="7">IFERROR(IF(G30-F30=-F30,"",G30/F30-1),"")</f>
        <v>7.9721114948114735E-3</v>
      </c>
      <c r="H32" s="101">
        <f t="shared" si="7"/>
        <v>3.2452858056198908E-2</v>
      </c>
      <c r="I32" s="101">
        <f t="shared" si="7"/>
        <v>8.1240597356909472E-2</v>
      </c>
      <c r="J32" s="101">
        <f t="shared" si="7"/>
        <v>5.1781976791760442E-3</v>
      </c>
      <c r="K32" s="101">
        <f t="shared" si="7"/>
        <v>5.6151590666544404E-3</v>
      </c>
      <c r="L32" s="101">
        <f t="shared" si="7"/>
        <v>6.0863475728969441E-3</v>
      </c>
      <c r="M32" s="101">
        <f t="shared" si="7"/>
        <v>6.5939855664096658E-3</v>
      </c>
      <c r="N32" s="101">
        <f t="shared" si="7"/>
        <v>7.1403608311273459E-3</v>
      </c>
      <c r="O32" s="101">
        <f t="shared" si="7"/>
        <v>7.7278139260610335E-3</v>
      </c>
      <c r="P32" s="101">
        <f t="shared" si="7"/>
        <v>8.3587225270571608E-3</v>
      </c>
      <c r="Q32" s="101">
        <f t="shared" si="7"/>
        <v>9.0354824636809106E-3</v>
      </c>
      <c r="R32" s="101">
        <f t="shared" si="7"/>
        <v>9.7604851926169633E-3</v>
      </c>
      <c r="S32" s="101">
        <f t="shared" si="7"/>
        <v>1.0536091494928179E-2</v>
      </c>
      <c r="T32" s="101" t="str">
        <f t="shared" si="7"/>
        <v/>
      </c>
      <c r="U32" s="101" t="str">
        <f t="shared" si="7"/>
        <v/>
      </c>
      <c r="V32" s="101" t="str">
        <f t="shared" si="7"/>
        <v/>
      </c>
      <c r="W32" s="101" t="str">
        <f t="shared" si="7"/>
        <v/>
      </c>
      <c r="X32" s="101" t="str">
        <f>IFERROR(IF(X30-W30=-W30,"",X30/W30-1),"")</f>
        <v/>
      </c>
      <c r="Y32" s="101" t="str">
        <f>IFERROR(IF(Y30-X30=-X30,"",Y30/X30-1),"")</f>
        <v/>
      </c>
      <c r="Z32" s="101" t="str">
        <f t="shared" si="7"/>
        <v/>
      </c>
      <c r="AA32" s="101" t="str">
        <f t="shared" si="7"/>
        <v/>
      </c>
      <c r="AB32" s="101" t="str">
        <f t="shared" si="7"/>
        <v/>
      </c>
      <c r="AC32" s="101" t="str">
        <f t="shared" si="7"/>
        <v/>
      </c>
      <c r="AD32" s="101" t="str">
        <f t="shared" si="7"/>
        <v/>
      </c>
      <c r="AE32" s="101" t="str">
        <f t="shared" si="7"/>
        <v/>
      </c>
      <c r="AF32" s="101" t="str">
        <f t="shared" si="7"/>
        <v/>
      </c>
      <c r="AG32" s="101" t="str">
        <f t="shared" si="7"/>
        <v/>
      </c>
      <c r="AH32" s="101" t="str">
        <f t="shared" si="7"/>
        <v/>
      </c>
      <c r="AI32" s="101" t="str">
        <f t="shared" si="7"/>
        <v/>
      </c>
      <c r="AJ32" s="101" t="str">
        <f t="shared" si="7"/>
        <v/>
      </c>
      <c r="AK32" s="101" t="str">
        <f t="shared" si="7"/>
        <v/>
      </c>
      <c r="AL32" s="101" t="str">
        <f t="shared" si="7"/>
        <v/>
      </c>
      <c r="AM32" s="101" t="str">
        <f t="shared" si="7"/>
        <v/>
      </c>
      <c r="AN32" s="101" t="str">
        <f t="shared" si="7"/>
        <v/>
      </c>
      <c r="AO32" s="101" t="str">
        <f t="shared" si="7"/>
        <v/>
      </c>
      <c r="AP32" s="101" t="str">
        <f t="shared" si="7"/>
        <v/>
      </c>
      <c r="AQ32" s="101" t="str">
        <f t="shared" si="7"/>
        <v/>
      </c>
      <c r="AR32" s="101" t="str">
        <f t="shared" si="7"/>
        <v/>
      </c>
      <c r="AS32" s="101" t="str">
        <f t="shared" si="7"/>
        <v/>
      </c>
      <c r="AT32" s="101" t="str">
        <f t="shared" si="7"/>
        <v/>
      </c>
      <c r="AU32" s="101" t="str">
        <f t="shared" si="7"/>
        <v/>
      </c>
      <c r="AV32" s="101" t="str">
        <f t="shared" si="7"/>
        <v/>
      </c>
      <c r="AW32" s="101" t="str">
        <f t="shared" si="7"/>
        <v/>
      </c>
      <c r="AX32" s="101" t="str">
        <f t="shared" si="7"/>
        <v/>
      </c>
      <c r="AY32" s="101" t="str">
        <f t="shared" si="7"/>
        <v/>
      </c>
      <c r="AZ32" s="101" t="str">
        <f t="shared" si="7"/>
        <v/>
      </c>
      <c r="BA32" s="101" t="str">
        <f t="shared" si="7"/>
        <v/>
      </c>
      <c r="BB32" s="101" t="str">
        <f t="shared" si="7"/>
        <v/>
      </c>
    </row>
    <row r="33" spans="2:54" s="99" customFormat="1" x14ac:dyDescent="0.2">
      <c r="F33" s="229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</row>
    <row r="34" spans="2:54" x14ac:dyDescent="0.2">
      <c r="B34" s="2" t="s">
        <v>190</v>
      </c>
      <c r="E34" s="37">
        <f>IF(E4&gt;Вводные!$D$7,0,D40*Вводные!$D$10)</f>
        <v>350000.00000000006</v>
      </c>
      <c r="F34" s="37">
        <f>IF(F4&gt;Вводные!$D$7,0,E40*Вводные!$D$10)</f>
        <v>381500.00000000006</v>
      </c>
      <c r="G34" s="37">
        <f>IF(G4&gt;Вводные!$D$7,0,F40*Вводные!$D$10)</f>
        <v>415835.00000000006</v>
      </c>
      <c r="H34" s="37">
        <f>IF(H4&gt;Вводные!$D$7,0,G40*Вводные!$D$10)</f>
        <v>453260.15000000008</v>
      </c>
      <c r="I34" s="37">
        <f>IF(I4&gt;Вводные!$D$7,0,H40*Вводные!$D$10)</f>
        <v>494053.56350000016</v>
      </c>
      <c r="J34" s="37">
        <f>IF(J4&gt;Вводные!$D$7,0,I40*Вводные!$D$10)</f>
        <v>538518.3842150002</v>
      </c>
      <c r="K34" s="37">
        <f>IF(K4&gt;Вводные!$D$7,0,J40*Вводные!$D$10)</f>
        <v>586985.03879435023</v>
      </c>
      <c r="L34" s="37">
        <f>IF(L4&gt;Вводные!$D$7,0,K40*Вводные!$D$10)</f>
        <v>639813.69228584191</v>
      </c>
      <c r="M34" s="37">
        <f>IF(M4&gt;Вводные!$D$7,0,L40*Вводные!$D$10)</f>
        <v>697396.9245915676</v>
      </c>
      <c r="N34" s="37">
        <f>IF(N4&gt;Вводные!$D$7,0,M40*Вводные!$D$10)</f>
        <v>760162.6478048088</v>
      </c>
      <c r="O34" s="37">
        <f>IF(O4&gt;Вводные!$D$7,0,N40*Вводные!$D$10)</f>
        <v>828577.28610724164</v>
      </c>
      <c r="P34" s="37">
        <f>IF(P4&gt;Вводные!$D$7,0,O40*Вводные!$D$10)</f>
        <v>903149.24185689341</v>
      </c>
      <c r="Q34" s="37">
        <f>IF(Q4&gt;Вводные!$D$7,0,P40*Вводные!$D$10)</f>
        <v>984432.6736240139</v>
      </c>
      <c r="R34" s="37">
        <f>IF(R4&gt;Вводные!$D$7,0,Q40*Вводные!$D$10)</f>
        <v>1073031.6142501752</v>
      </c>
      <c r="S34" s="37">
        <f>IF(S4&gt;Вводные!$D$7,0,R40*Вводные!$D$10)</f>
        <v>1169604.4595326909</v>
      </c>
      <c r="T34" s="37">
        <f>IF(T4&gt;Вводные!$D$7,0,S40*Вводные!$D$10)</f>
        <v>0</v>
      </c>
      <c r="U34" s="37">
        <f>IF(U4&gt;Вводные!$D$7,0,T40*Вводные!$D$10)</f>
        <v>0</v>
      </c>
      <c r="V34" s="37">
        <f>IF(V4&gt;Вводные!$D$7,0,U40*Вводные!$D$10)</f>
        <v>0</v>
      </c>
      <c r="W34" s="37">
        <f>IF(W4&gt;Вводные!$D$7,0,V40*Вводные!$D$10)</f>
        <v>0</v>
      </c>
      <c r="X34" s="37">
        <f>IF(X4&gt;Вводные!$D$7,0,W40*Вводные!$D$10)</f>
        <v>0</v>
      </c>
      <c r="Y34" s="37">
        <f>IF(Y4&gt;Вводные!$D$7,0,X40*Вводные!$D$10)</f>
        <v>0</v>
      </c>
      <c r="Z34" s="37">
        <f>IF(Z4&gt;Вводные!$D$7,0,Y40*Вводные!$D$10)</f>
        <v>0</v>
      </c>
      <c r="AA34" s="37">
        <f>IF(AA4&gt;Вводные!$D$7,0,Z40*Вводные!$D$10)</f>
        <v>0</v>
      </c>
      <c r="AB34" s="37">
        <f>IF(AB4&gt;Вводные!$D$7,0,AA40*Вводные!$D$10)</f>
        <v>0</v>
      </c>
      <c r="AC34" s="37">
        <f>IF(AC4&gt;Вводные!$D$7,0,AB40*Вводные!$D$10)</f>
        <v>0</v>
      </c>
      <c r="AD34" s="37">
        <f>IF(AD4&gt;Вводные!$D$7,0,AC40*Вводные!$D$10)</f>
        <v>0</v>
      </c>
      <c r="AE34" s="37">
        <f>IF(AE4&gt;Вводные!$D$7,0,AD40*Вводные!$D$10)</f>
        <v>0</v>
      </c>
      <c r="AF34" s="37">
        <f>IF(AF4&gt;Вводные!$D$7,0,AE40*Вводные!$D$10)</f>
        <v>0</v>
      </c>
      <c r="AG34" s="37">
        <f>IF(AG4&gt;Вводные!$D$7,0,AF40*Вводные!$D$10)</f>
        <v>0</v>
      </c>
      <c r="AH34" s="37">
        <f>IF(AH4&gt;Вводные!$D$7,0,AG40*Вводные!$D$10)</f>
        <v>0</v>
      </c>
      <c r="AI34" s="37">
        <f>IF(AI4&gt;Вводные!$D$7,0,AH40*Вводные!$D$10)</f>
        <v>0</v>
      </c>
      <c r="AJ34" s="37">
        <f>IF(AJ4&gt;Вводные!$D$7,0,AI40*Вводные!$D$10)</f>
        <v>0</v>
      </c>
      <c r="AK34" s="37">
        <f>IF(AK4&gt;Вводные!$D$7,0,AJ40*Вводные!$D$10)</f>
        <v>0</v>
      </c>
      <c r="AL34" s="37">
        <f>IF(AL4&gt;Вводные!$D$7,0,AK40*Вводные!$D$10)</f>
        <v>0</v>
      </c>
      <c r="AM34" s="37">
        <f>IF(AM4&gt;Вводные!$D$7,0,AL40*Вводные!$D$10)</f>
        <v>0</v>
      </c>
      <c r="AN34" s="37">
        <f>IF(AN4&gt;Вводные!$D$7,0,AM40*Вводные!$D$10)</f>
        <v>0</v>
      </c>
      <c r="AO34" s="37">
        <f>IF(AO4&gt;Вводные!$D$7,0,AN40*Вводные!$D$10)</f>
        <v>0</v>
      </c>
      <c r="AP34" s="37">
        <f>IF(AP4&gt;Вводные!$D$7,0,AO40*Вводные!$D$10)</f>
        <v>0</v>
      </c>
      <c r="AQ34" s="37">
        <f>IF(AQ4&gt;Вводные!$D$7,0,AP40*Вводные!$D$10)</f>
        <v>0</v>
      </c>
      <c r="AR34" s="37">
        <f>IF(AR4&gt;Вводные!$D$7,0,AQ40*Вводные!$D$10)</f>
        <v>0</v>
      </c>
      <c r="AS34" s="37">
        <f>IF(AS4&gt;Вводные!$D$7,0,AR40*Вводные!$D$10)</f>
        <v>0</v>
      </c>
      <c r="AT34" s="37">
        <f>IF(AT4&gt;Вводные!$D$7,0,AS40*Вводные!$D$10)</f>
        <v>0</v>
      </c>
      <c r="AU34" s="37">
        <f>IF(AU4&gt;Вводные!$D$7,0,AT40*Вводные!$D$10)</f>
        <v>0</v>
      </c>
      <c r="AV34" s="37">
        <f>IF(AV4&gt;Вводные!$D$7,0,AU40*Вводные!$D$10)</f>
        <v>0</v>
      </c>
      <c r="AW34" s="37">
        <f>IF(AW4&gt;Вводные!$D$7,0,AV40*Вводные!$D$10)</f>
        <v>0</v>
      </c>
      <c r="AX34" s="37">
        <f>IF(AX4&gt;Вводные!$D$7,0,AW40*Вводные!$D$10)</f>
        <v>0</v>
      </c>
      <c r="AY34" s="37">
        <f>IF(AY4&gt;Вводные!$D$7,0,AX40*Вводные!$D$10)</f>
        <v>0</v>
      </c>
      <c r="AZ34" s="37">
        <f>IF(AZ4&gt;Вводные!$D$7,0,AY40*Вводные!$D$10)</f>
        <v>0</v>
      </c>
      <c r="BA34" s="37">
        <f>IF(BA4&gt;Вводные!$D$7,0,AZ40*Вводные!$D$10)</f>
        <v>0</v>
      </c>
      <c r="BB34" s="37">
        <f>IF(BB4&gt;Вводные!$D$7,0,BA40*Вводные!$D$10)</f>
        <v>0</v>
      </c>
    </row>
    <row r="35" spans="2:54" s="99" customFormat="1" x14ac:dyDescent="0.2">
      <c r="B35" s="99" t="s">
        <v>193</v>
      </c>
      <c r="E35" s="100">
        <f>E34/12</f>
        <v>29166.666666666672</v>
      </c>
      <c r="F35" s="100">
        <f t="shared" ref="F35:BB37" si="8">F34/12</f>
        <v>31791.666666666672</v>
      </c>
      <c r="G35" s="100">
        <f t="shared" si="8"/>
        <v>34652.916666666672</v>
      </c>
      <c r="H35" s="100">
        <f t="shared" si="8"/>
        <v>37771.679166666676</v>
      </c>
      <c r="I35" s="100">
        <f t="shared" si="8"/>
        <v>41171.130291666683</v>
      </c>
      <c r="J35" s="100">
        <f t="shared" si="8"/>
        <v>44876.532017916681</v>
      </c>
      <c r="K35" s="100">
        <f t="shared" si="8"/>
        <v>48915.419899529188</v>
      </c>
      <c r="L35" s="100">
        <f t="shared" si="8"/>
        <v>53317.807690486829</v>
      </c>
      <c r="M35" s="100">
        <f t="shared" si="8"/>
        <v>58116.410382630631</v>
      </c>
      <c r="N35" s="100">
        <f t="shared" si="8"/>
        <v>63346.887317067398</v>
      </c>
      <c r="O35" s="100">
        <f t="shared" si="8"/>
        <v>69048.107175603465</v>
      </c>
      <c r="P35" s="100">
        <f t="shared" si="8"/>
        <v>75262.436821407784</v>
      </c>
      <c r="Q35" s="100">
        <f t="shared" si="8"/>
        <v>82036.056135334497</v>
      </c>
      <c r="R35" s="100">
        <f t="shared" si="8"/>
        <v>89419.301187514604</v>
      </c>
      <c r="S35" s="100">
        <f t="shared" si="8"/>
        <v>97467.038294390906</v>
      </c>
      <c r="T35" s="100">
        <f t="shared" si="8"/>
        <v>0</v>
      </c>
      <c r="U35" s="100">
        <f t="shared" si="8"/>
        <v>0</v>
      </c>
      <c r="V35" s="100">
        <f t="shared" si="8"/>
        <v>0</v>
      </c>
      <c r="W35" s="100">
        <f t="shared" si="8"/>
        <v>0</v>
      </c>
      <c r="X35" s="100">
        <f t="shared" si="8"/>
        <v>0</v>
      </c>
      <c r="Y35" s="100">
        <f t="shared" si="8"/>
        <v>0</v>
      </c>
      <c r="Z35" s="100">
        <f t="shared" si="8"/>
        <v>0</v>
      </c>
      <c r="AA35" s="100">
        <f t="shared" si="8"/>
        <v>0</v>
      </c>
      <c r="AB35" s="100">
        <f t="shared" si="8"/>
        <v>0</v>
      </c>
      <c r="AC35" s="100">
        <f t="shared" si="8"/>
        <v>0</v>
      </c>
      <c r="AD35" s="100">
        <f t="shared" si="8"/>
        <v>0</v>
      </c>
      <c r="AE35" s="100">
        <f t="shared" si="8"/>
        <v>0</v>
      </c>
      <c r="AF35" s="100">
        <f t="shared" si="8"/>
        <v>0</v>
      </c>
      <c r="AG35" s="100">
        <f t="shared" si="8"/>
        <v>0</v>
      </c>
      <c r="AH35" s="100">
        <f t="shared" si="8"/>
        <v>0</v>
      </c>
      <c r="AI35" s="100">
        <f t="shared" si="8"/>
        <v>0</v>
      </c>
      <c r="AJ35" s="100">
        <f t="shared" si="8"/>
        <v>0</v>
      </c>
      <c r="AK35" s="100">
        <f t="shared" si="8"/>
        <v>0</v>
      </c>
      <c r="AL35" s="100">
        <f t="shared" si="8"/>
        <v>0</v>
      </c>
      <c r="AM35" s="100">
        <f t="shared" si="8"/>
        <v>0</v>
      </c>
      <c r="AN35" s="100">
        <f t="shared" si="8"/>
        <v>0</v>
      </c>
      <c r="AO35" s="100">
        <f t="shared" si="8"/>
        <v>0</v>
      </c>
      <c r="AP35" s="100">
        <f t="shared" si="8"/>
        <v>0</v>
      </c>
      <c r="AQ35" s="100">
        <f t="shared" si="8"/>
        <v>0</v>
      </c>
      <c r="AR35" s="100">
        <f t="shared" si="8"/>
        <v>0</v>
      </c>
      <c r="AS35" s="100">
        <f t="shared" si="8"/>
        <v>0</v>
      </c>
      <c r="AT35" s="100">
        <f t="shared" si="8"/>
        <v>0</v>
      </c>
      <c r="AU35" s="100">
        <f t="shared" si="8"/>
        <v>0</v>
      </c>
      <c r="AV35" s="100">
        <f t="shared" si="8"/>
        <v>0</v>
      </c>
      <c r="AW35" s="100">
        <f t="shared" si="8"/>
        <v>0</v>
      </c>
      <c r="AX35" s="100">
        <f t="shared" si="8"/>
        <v>0</v>
      </c>
      <c r="AY35" s="100">
        <f t="shared" si="8"/>
        <v>0</v>
      </c>
      <c r="AZ35" s="100">
        <f t="shared" si="8"/>
        <v>0</v>
      </c>
      <c r="BA35" s="100">
        <f t="shared" si="8"/>
        <v>0</v>
      </c>
      <c r="BB35" s="100">
        <f t="shared" si="8"/>
        <v>0</v>
      </c>
    </row>
    <row r="36" spans="2:54" s="96" customFormat="1" x14ac:dyDescent="0.2">
      <c r="B36" s="105" t="s">
        <v>192</v>
      </c>
      <c r="C36" s="105"/>
      <c r="D36" s="106">
        <f>D30+D34</f>
        <v>-3500000</v>
      </c>
      <c r="E36" s="106">
        <f>E30+E34</f>
        <v>-333784.37143713335</v>
      </c>
      <c r="F36" s="106">
        <f t="shared" ref="F36:AI36" si="9">F30+F34</f>
        <v>-569138.22642259113</v>
      </c>
      <c r="G36" s="106">
        <f>G30+G34</f>
        <v>-542381.82035486191</v>
      </c>
      <c r="H36" s="106">
        <f t="shared" si="9"/>
        <v>-536053.54481290048</v>
      </c>
      <c r="I36" s="106">
        <f t="shared" si="9"/>
        <v>-575632.56685287156</v>
      </c>
      <c r="J36" s="106">
        <f t="shared" si="9"/>
        <v>-536706.79237551161</v>
      </c>
      <c r="K36" s="106">
        <f t="shared" si="9"/>
        <v>-494277.69819518889</v>
      </c>
      <c r="L36" s="106">
        <f t="shared" si="9"/>
        <v>-448029.98553863738</v>
      </c>
      <c r="M36" s="106">
        <f t="shared" si="9"/>
        <v>-397619.97874299623</v>
      </c>
      <c r="N36" s="106">
        <f t="shared" si="9"/>
        <v>-342673.07133574761</v>
      </c>
      <c r="O36" s="106">
        <f t="shared" si="9"/>
        <v>-282780.94226184674</v>
      </c>
      <c r="P36" s="106">
        <f t="shared" si="9"/>
        <v>-217498.52157129406</v>
      </c>
      <c r="Q36" s="106">
        <f t="shared" si="9"/>
        <v>-146340.6830185923</v>
      </c>
      <c r="R36" s="106">
        <f t="shared" si="9"/>
        <v>-68778.638996146852</v>
      </c>
      <c r="S36" s="106">
        <f t="shared" si="9"/>
        <v>15763.988988318481</v>
      </c>
      <c r="T36" s="106">
        <f t="shared" si="9"/>
        <v>0</v>
      </c>
      <c r="U36" s="106">
        <f t="shared" si="9"/>
        <v>0</v>
      </c>
      <c r="V36" s="106">
        <f t="shared" si="9"/>
        <v>0</v>
      </c>
      <c r="W36" s="106">
        <f t="shared" si="9"/>
        <v>0</v>
      </c>
      <c r="X36" s="106">
        <f>X30+X34</f>
        <v>0</v>
      </c>
      <c r="Y36" s="106">
        <f t="shared" si="9"/>
        <v>0</v>
      </c>
      <c r="Z36" s="106">
        <f t="shared" si="9"/>
        <v>0</v>
      </c>
      <c r="AA36" s="106">
        <f t="shared" si="9"/>
        <v>0</v>
      </c>
      <c r="AB36" s="106">
        <f t="shared" si="9"/>
        <v>0</v>
      </c>
      <c r="AC36" s="106">
        <f t="shared" si="9"/>
        <v>0</v>
      </c>
      <c r="AD36" s="106">
        <f t="shared" si="9"/>
        <v>0</v>
      </c>
      <c r="AE36" s="106">
        <f t="shared" si="9"/>
        <v>0</v>
      </c>
      <c r="AF36" s="106">
        <f t="shared" si="9"/>
        <v>0</v>
      </c>
      <c r="AG36" s="106">
        <f t="shared" si="9"/>
        <v>0</v>
      </c>
      <c r="AH36" s="106">
        <f t="shared" si="9"/>
        <v>0</v>
      </c>
      <c r="AI36" s="106">
        <f t="shared" si="9"/>
        <v>0</v>
      </c>
      <c r="AJ36" s="106">
        <f t="shared" ref="AJ36:BB36" si="10">AJ30+AJ34</f>
        <v>0</v>
      </c>
      <c r="AK36" s="106">
        <f t="shared" si="10"/>
        <v>0</v>
      </c>
      <c r="AL36" s="106">
        <f t="shared" si="10"/>
        <v>0</v>
      </c>
      <c r="AM36" s="106">
        <f t="shared" si="10"/>
        <v>0</v>
      </c>
      <c r="AN36" s="106">
        <f t="shared" si="10"/>
        <v>0</v>
      </c>
      <c r="AO36" s="106">
        <f t="shared" si="10"/>
        <v>0</v>
      </c>
      <c r="AP36" s="106">
        <f t="shared" si="10"/>
        <v>0</v>
      </c>
      <c r="AQ36" s="106">
        <f t="shared" si="10"/>
        <v>0</v>
      </c>
      <c r="AR36" s="106">
        <f t="shared" si="10"/>
        <v>0</v>
      </c>
      <c r="AS36" s="106">
        <f t="shared" si="10"/>
        <v>0</v>
      </c>
      <c r="AT36" s="106">
        <f t="shared" si="10"/>
        <v>0</v>
      </c>
      <c r="AU36" s="106">
        <f t="shared" si="10"/>
        <v>0</v>
      </c>
      <c r="AV36" s="106">
        <f t="shared" si="10"/>
        <v>0</v>
      </c>
      <c r="AW36" s="106">
        <f t="shared" si="10"/>
        <v>0</v>
      </c>
      <c r="AX36" s="106">
        <f t="shared" si="10"/>
        <v>0</v>
      </c>
      <c r="AY36" s="106">
        <f t="shared" si="10"/>
        <v>0</v>
      </c>
      <c r="AZ36" s="106">
        <f t="shared" si="10"/>
        <v>0</v>
      </c>
      <c r="BA36" s="106">
        <f t="shared" si="10"/>
        <v>0</v>
      </c>
      <c r="BB36" s="106">
        <f t="shared" si="10"/>
        <v>0</v>
      </c>
    </row>
    <row r="37" spans="2:54" s="99" customFormat="1" x14ac:dyDescent="0.2">
      <c r="B37" s="99" t="s">
        <v>149</v>
      </c>
      <c r="E37" s="100">
        <f>E36/12</f>
        <v>-27815.364286427779</v>
      </c>
      <c r="F37" s="100">
        <f t="shared" si="8"/>
        <v>-47428.185535215925</v>
      </c>
      <c r="G37" s="100">
        <f t="shared" si="8"/>
        <v>-45198.485029571828</v>
      </c>
      <c r="H37" s="100">
        <f t="shared" si="8"/>
        <v>-44671.128734408376</v>
      </c>
      <c r="I37" s="100">
        <f t="shared" si="8"/>
        <v>-47969.38057107263</v>
      </c>
      <c r="J37" s="100">
        <f t="shared" si="8"/>
        <v>-44725.566031292634</v>
      </c>
      <c r="K37" s="100">
        <f t="shared" si="8"/>
        <v>-41189.808182932407</v>
      </c>
      <c r="L37" s="100">
        <f t="shared" si="8"/>
        <v>-37335.832128219779</v>
      </c>
      <c r="M37" s="100">
        <f t="shared" si="8"/>
        <v>-33134.998228583019</v>
      </c>
      <c r="N37" s="100">
        <f t="shared" si="8"/>
        <v>-28556.089277978968</v>
      </c>
      <c r="O37" s="100">
        <f t="shared" si="8"/>
        <v>-23565.07852182056</v>
      </c>
      <c r="P37" s="100">
        <f t="shared" si="8"/>
        <v>-18124.876797607838</v>
      </c>
      <c r="Q37" s="100">
        <f t="shared" si="8"/>
        <v>-12195.056918216025</v>
      </c>
      <c r="R37" s="100">
        <f t="shared" si="8"/>
        <v>-5731.5532496789046</v>
      </c>
      <c r="S37" s="100">
        <f t="shared" si="8"/>
        <v>1313.66574902654</v>
      </c>
      <c r="T37" s="100">
        <f t="shared" si="8"/>
        <v>0</v>
      </c>
      <c r="U37" s="100">
        <f t="shared" si="8"/>
        <v>0</v>
      </c>
      <c r="V37" s="100">
        <f t="shared" si="8"/>
        <v>0</v>
      </c>
      <c r="W37" s="100">
        <f t="shared" si="8"/>
        <v>0</v>
      </c>
      <c r="X37" s="100">
        <f t="shared" si="8"/>
        <v>0</v>
      </c>
      <c r="Y37" s="100">
        <f t="shared" si="8"/>
        <v>0</v>
      </c>
      <c r="Z37" s="100">
        <f t="shared" si="8"/>
        <v>0</v>
      </c>
      <c r="AA37" s="100">
        <f t="shared" si="8"/>
        <v>0</v>
      </c>
      <c r="AB37" s="100">
        <f t="shared" si="8"/>
        <v>0</v>
      </c>
      <c r="AC37" s="100">
        <f t="shared" si="8"/>
        <v>0</v>
      </c>
      <c r="AD37" s="100">
        <f t="shared" si="8"/>
        <v>0</v>
      </c>
      <c r="AE37" s="100">
        <f t="shared" si="8"/>
        <v>0</v>
      </c>
      <c r="AF37" s="100">
        <f t="shared" si="8"/>
        <v>0</v>
      </c>
      <c r="AG37" s="100">
        <f t="shared" si="8"/>
        <v>0</v>
      </c>
      <c r="AH37" s="100">
        <f t="shared" si="8"/>
        <v>0</v>
      </c>
      <c r="AI37" s="100">
        <f t="shared" si="8"/>
        <v>0</v>
      </c>
      <c r="AJ37" s="100">
        <f t="shared" si="8"/>
        <v>0</v>
      </c>
      <c r="AK37" s="100">
        <f t="shared" si="8"/>
        <v>0</v>
      </c>
      <c r="AL37" s="100">
        <f t="shared" si="8"/>
        <v>0</v>
      </c>
      <c r="AM37" s="100">
        <f t="shared" si="8"/>
        <v>0</v>
      </c>
      <c r="AN37" s="100">
        <f t="shared" si="8"/>
        <v>0</v>
      </c>
      <c r="AO37" s="100">
        <f t="shared" si="8"/>
        <v>0</v>
      </c>
      <c r="AP37" s="100">
        <f t="shared" si="8"/>
        <v>0</v>
      </c>
      <c r="AQ37" s="100">
        <f t="shared" si="8"/>
        <v>0</v>
      </c>
      <c r="AR37" s="100">
        <f t="shared" si="8"/>
        <v>0</v>
      </c>
      <c r="AS37" s="100">
        <f t="shared" si="8"/>
        <v>0</v>
      </c>
      <c r="AT37" s="100">
        <f t="shared" si="8"/>
        <v>0</v>
      </c>
      <c r="AU37" s="100">
        <f t="shared" si="8"/>
        <v>0</v>
      </c>
      <c r="AV37" s="100">
        <f t="shared" si="8"/>
        <v>0</v>
      </c>
      <c r="AW37" s="100">
        <f t="shared" si="8"/>
        <v>0</v>
      </c>
      <c r="AX37" s="100">
        <f t="shared" si="8"/>
        <v>0</v>
      </c>
      <c r="AY37" s="100">
        <f t="shared" si="8"/>
        <v>0</v>
      </c>
      <c r="AZ37" s="100">
        <f t="shared" si="8"/>
        <v>0</v>
      </c>
      <c r="BA37" s="100">
        <f t="shared" si="8"/>
        <v>0</v>
      </c>
      <c r="BB37" s="100">
        <f t="shared" si="8"/>
        <v>0</v>
      </c>
    </row>
    <row r="38" spans="2:54" s="99" customFormat="1" x14ac:dyDescent="0.2">
      <c r="B38" s="99" t="s">
        <v>140</v>
      </c>
      <c r="F38" s="101">
        <f>IFERROR(IF(F36-E36=-E36,"",F36/E36-1),"")</f>
        <v>0.70510747394230688</v>
      </c>
      <c r="G38" s="101">
        <f t="shared" ref="G38" si="11">IFERROR(IF(G36-F36=-F36,"",G36/F36-1),"")</f>
        <v>-4.7012140154266024E-2</v>
      </c>
      <c r="H38" s="101">
        <f t="shared" ref="H38" si="12">IFERROR(IF(H36-G36=-G36,"",H36/G36-1),"")</f>
        <v>-1.1667565734082008E-2</v>
      </c>
      <c r="I38" s="101">
        <f t="shared" ref="I38" si="13">IFERROR(IF(I36-H36=-H36,"",I36/H36-1),"")</f>
        <v>7.3834083223506042E-2</v>
      </c>
      <c r="J38" s="101">
        <f t="shared" ref="J38" si="14">IFERROR(IF(J36-I36=-I36,"",J36/I36-1),"")</f>
        <v>-6.7622606361862014E-2</v>
      </c>
      <c r="K38" s="101">
        <f t="shared" ref="K38" si="15">IFERROR(IF(K36-J36=-J36,"",K36/J36-1),"")</f>
        <v>-7.9054513158903439E-2</v>
      </c>
      <c r="L38" s="101">
        <f t="shared" ref="L38" si="16">IFERROR(IF(L36-K36=-K36,"",L36/K36-1),"")</f>
        <v>-9.3566254001386073E-2</v>
      </c>
      <c r="M38" s="101">
        <f t="shared" ref="M38" si="17">IFERROR(IF(M36-L36=-L36,"",M36/L36-1),"")</f>
        <v>-0.11251480575577211</v>
      </c>
      <c r="N38" s="101">
        <f t="shared" ref="N38" si="18">IFERROR(IF(N36-M36=-M36,"",N36/M36-1),"")</f>
        <v>-0.13818950340713099</v>
      </c>
      <c r="O38" s="101">
        <f t="shared" ref="O38" si="19">IFERROR(IF(O36-N36=-N36,"",O36/N36-1),"")</f>
        <v>-0.17477921110182359</v>
      </c>
      <c r="P38" s="101">
        <f t="shared" ref="P38" si="20">IFERROR(IF(P36-O36=-O36,"",P36/O36-1),"")</f>
        <v>-0.2308586291862027</v>
      </c>
      <c r="Q38" s="101">
        <f t="shared" ref="Q38" si="21">IFERROR(IF(Q36-P36=-P36,"",Q36/P36-1),"")</f>
        <v>-0.32716469996499198</v>
      </c>
      <c r="R38" s="101">
        <f t="shared" ref="R38" si="22">IFERROR(IF(R36-Q36=-Q36,"",R36/Q36-1),"")</f>
        <v>-0.53001012720838081</v>
      </c>
      <c r="S38" s="101">
        <f t="shared" ref="S38" si="23">IFERROR(IF(S36-R36=-R36,"",S36/R36-1),"")</f>
        <v>-1.2291989085332382</v>
      </c>
      <c r="T38" s="101" t="str">
        <f t="shared" ref="T38" si="24">IFERROR(IF(T36-S36=-S36,"",T36/S36-1),"")</f>
        <v/>
      </c>
      <c r="U38" s="101" t="str">
        <f t="shared" ref="U38" si="25">IFERROR(IF(U36-T36=-T36,"",U36/T36-1),"")</f>
        <v/>
      </c>
      <c r="V38" s="101" t="str">
        <f t="shared" ref="V38" si="26">IFERROR(IF(V36-U36=-U36,"",V36/U36-1),"")</f>
        <v/>
      </c>
      <c r="W38" s="101" t="str">
        <f t="shared" ref="W38" si="27">IFERROR(IF(W36-V36=-V36,"",W36/V36-1),"")</f>
        <v/>
      </c>
      <c r="X38" s="101" t="str">
        <f>IFERROR(IF(X36-W36=-W36,"",X36/W36-1),"")</f>
        <v/>
      </c>
      <c r="Y38" s="101" t="str">
        <f>IFERROR(IF(Y36-X36=-X36,"",Y36/X36-1),"")</f>
        <v/>
      </c>
      <c r="Z38" s="101" t="str">
        <f t="shared" ref="Z38" si="28">IFERROR(IF(Z36-Y36=-Y36,"",Z36/Y36-1),"")</f>
        <v/>
      </c>
      <c r="AA38" s="101" t="str">
        <f t="shared" ref="AA38" si="29">IFERROR(IF(AA36-Z36=-Z36,"",AA36/Z36-1),"")</f>
        <v/>
      </c>
      <c r="AB38" s="101" t="str">
        <f t="shared" ref="AB38" si="30">IFERROR(IF(AB36-AA36=-AA36,"",AB36/AA36-1),"")</f>
        <v/>
      </c>
      <c r="AC38" s="101" t="str">
        <f t="shared" ref="AC38" si="31">IFERROR(IF(AC36-AB36=-AB36,"",AC36/AB36-1),"")</f>
        <v/>
      </c>
      <c r="AD38" s="101" t="str">
        <f t="shared" ref="AD38" si="32">IFERROR(IF(AD36-AC36=-AC36,"",AD36/AC36-1),"")</f>
        <v/>
      </c>
      <c r="AE38" s="101" t="str">
        <f t="shared" ref="AE38" si="33">IFERROR(IF(AE36-AD36=-AD36,"",AE36/AD36-1),"")</f>
        <v/>
      </c>
      <c r="AF38" s="101" t="str">
        <f t="shared" ref="AF38" si="34">IFERROR(IF(AF36-AE36=-AE36,"",AF36/AE36-1),"")</f>
        <v/>
      </c>
      <c r="AG38" s="101" t="str">
        <f t="shared" ref="AG38" si="35">IFERROR(IF(AG36-AF36=-AF36,"",AG36/AF36-1),"")</f>
        <v/>
      </c>
      <c r="AH38" s="101" t="str">
        <f t="shared" ref="AH38" si="36">IFERROR(IF(AH36-AG36=-AG36,"",AH36/AG36-1),"")</f>
        <v/>
      </c>
      <c r="AI38" s="101" t="str">
        <f t="shared" ref="AI38" si="37">IFERROR(IF(AI36-AH36=-AH36,"",AI36/AH36-1),"")</f>
        <v/>
      </c>
      <c r="AJ38" s="101" t="str">
        <f t="shared" ref="AJ38" si="38">IFERROR(IF(AJ36-AI36=-AI36,"",AJ36/AI36-1),"")</f>
        <v/>
      </c>
      <c r="AK38" s="101" t="str">
        <f t="shared" ref="AK38" si="39">IFERROR(IF(AK36-AJ36=-AJ36,"",AK36/AJ36-1),"")</f>
        <v/>
      </c>
      <c r="AL38" s="101" t="str">
        <f t="shared" ref="AL38" si="40">IFERROR(IF(AL36-AK36=-AK36,"",AL36/AK36-1),"")</f>
        <v/>
      </c>
      <c r="AM38" s="101" t="str">
        <f t="shared" ref="AM38" si="41">IFERROR(IF(AM36-AL36=-AL36,"",AM36/AL36-1),"")</f>
        <v/>
      </c>
      <c r="AN38" s="101" t="str">
        <f t="shared" ref="AN38" si="42">IFERROR(IF(AN36-AM36=-AM36,"",AN36/AM36-1),"")</f>
        <v/>
      </c>
      <c r="AO38" s="101" t="str">
        <f t="shared" ref="AO38" si="43">IFERROR(IF(AO36-AN36=-AN36,"",AO36/AN36-1),"")</f>
        <v/>
      </c>
      <c r="AP38" s="101" t="str">
        <f t="shared" ref="AP38" si="44">IFERROR(IF(AP36-AO36=-AO36,"",AP36/AO36-1),"")</f>
        <v/>
      </c>
      <c r="AQ38" s="101" t="str">
        <f t="shared" ref="AQ38" si="45">IFERROR(IF(AQ36-AP36=-AP36,"",AQ36/AP36-1),"")</f>
        <v/>
      </c>
      <c r="AR38" s="101" t="str">
        <f t="shared" ref="AR38" si="46">IFERROR(IF(AR36-AQ36=-AQ36,"",AR36/AQ36-1),"")</f>
        <v/>
      </c>
      <c r="AS38" s="101" t="str">
        <f t="shared" ref="AS38" si="47">IFERROR(IF(AS36-AR36=-AR36,"",AS36/AR36-1),"")</f>
        <v/>
      </c>
      <c r="AT38" s="101" t="str">
        <f t="shared" ref="AT38" si="48">IFERROR(IF(AT36-AS36=-AS36,"",AT36/AS36-1),"")</f>
        <v/>
      </c>
      <c r="AU38" s="101" t="str">
        <f t="shared" ref="AU38" si="49">IFERROR(IF(AU36-AT36=-AT36,"",AU36/AT36-1),"")</f>
        <v/>
      </c>
      <c r="AV38" s="101" t="str">
        <f t="shared" ref="AV38" si="50">IFERROR(IF(AV36-AU36=-AU36,"",AV36/AU36-1),"")</f>
        <v/>
      </c>
      <c r="AW38" s="101" t="str">
        <f t="shared" ref="AW38" si="51">IFERROR(IF(AW36-AV36=-AV36,"",AW36/AV36-1),"")</f>
        <v/>
      </c>
      <c r="AX38" s="101" t="str">
        <f t="shared" ref="AX38" si="52">IFERROR(IF(AX36-AW36=-AW36,"",AX36/AW36-1),"")</f>
        <v/>
      </c>
      <c r="AY38" s="101" t="str">
        <f t="shared" ref="AY38" si="53">IFERROR(IF(AY36-AX36=-AX36,"",AY36/AX36-1),"")</f>
        <v/>
      </c>
      <c r="AZ38" s="101" t="str">
        <f t="shared" ref="AZ38" si="54">IFERROR(IF(AZ36-AY36=-AY36,"",AZ36/AY36-1),"")</f>
        <v/>
      </c>
      <c r="BA38" s="101" t="str">
        <f t="shared" ref="BA38" si="55">IFERROR(IF(BA36-AZ36=-AZ36,"",BA36/AZ36-1),"")</f>
        <v/>
      </c>
      <c r="BB38" s="101" t="str">
        <f t="shared" ref="BB38" si="56">IFERROR(IF(BB36-BA36=-BA36,"",BB36/BA36-1),"")</f>
        <v/>
      </c>
    </row>
    <row r="39" spans="2:54" s="99" customFormat="1" x14ac:dyDescent="0.2">
      <c r="D39" s="10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</row>
    <row r="40" spans="2:54" x14ac:dyDescent="0.2">
      <c r="B40" s="2" t="s">
        <v>11</v>
      </c>
      <c r="C40" s="13"/>
      <c r="D40" s="61">
        <f>Вводные!D5+Вводные!D6</f>
        <v>10000000</v>
      </c>
      <c r="E40" s="61">
        <f>IF(E4&gt;Вводные!$D$7,0,D40*(1+Вводные!$D$9))</f>
        <v>10900000</v>
      </c>
      <c r="F40" s="61">
        <f>IF(F4&gt;Вводные!$D$7,0,E40*(1+Вводные!$D$9))</f>
        <v>11881000</v>
      </c>
      <c r="G40" s="61">
        <f>IF(G4&gt;Вводные!$D$7,0,F40*(1+Вводные!$D$9))</f>
        <v>12950290.000000002</v>
      </c>
      <c r="H40" s="61">
        <f>IF(H4&gt;Вводные!$D$7,0,G40*(1+Вводные!$D$9))</f>
        <v>14115816.100000003</v>
      </c>
      <c r="I40" s="61">
        <f>IF(I4&gt;Вводные!$D$7,0,H40*(1+Вводные!$D$9))</f>
        <v>15386239.549000004</v>
      </c>
      <c r="J40" s="61">
        <f>IF(J4&gt;Вводные!$D$7,0,I40*(1+Вводные!$D$9))</f>
        <v>16771001.108410006</v>
      </c>
      <c r="K40" s="61">
        <f>IF(K4&gt;Вводные!$D$7,0,J40*(1+Вводные!$D$9))</f>
        <v>18280391.208166908</v>
      </c>
      <c r="L40" s="61">
        <f>IF(L4&gt;Вводные!$D$7,0,K40*(1+Вводные!$D$9))</f>
        <v>19925626.416901931</v>
      </c>
      <c r="M40" s="61">
        <f>IF(M4&gt;Вводные!$D$7,0,L40*(1+Вводные!$D$9))</f>
        <v>21718932.794423107</v>
      </c>
      <c r="N40" s="61">
        <f>IF(N4&gt;Вводные!$D$7,0,M40*(1+Вводные!$D$9))</f>
        <v>23673636.745921187</v>
      </c>
      <c r="O40" s="61">
        <f>IF(O4&gt;Вводные!$D$7,0,N40*(1+Вводные!$D$9))</f>
        <v>25804264.053054094</v>
      </c>
      <c r="P40" s="61">
        <f>IF(P4&gt;Вводные!$D$7,0,O40*(1+Вводные!$D$9))</f>
        <v>28126647.817828964</v>
      </c>
      <c r="Q40" s="61">
        <f>IF(Q4&gt;Вводные!$D$7,0,P40*(1+Вводные!$D$9))</f>
        <v>30658046.121433575</v>
      </c>
      <c r="R40" s="61">
        <f>IF(R4&gt;Вводные!$D$7,0,Q40*(1+Вводные!$D$9))</f>
        <v>33417270.272362597</v>
      </c>
      <c r="S40" s="61">
        <f>IF(S4&gt;Вводные!$D$7,0,R40*(1+Вводные!$D$9))</f>
        <v>36424824.596875235</v>
      </c>
      <c r="T40" s="61">
        <f>IF(T4&gt;Вводные!$D$7,0,S40*(1+Вводные!$D$9))</f>
        <v>0</v>
      </c>
      <c r="U40" s="61">
        <f>IF(U4&gt;Вводные!$D$7,0,T40*(1+Вводные!$D$9))</f>
        <v>0</v>
      </c>
      <c r="V40" s="61">
        <f>IF(V4&gt;Вводные!$D$7,0,U40*(1+Вводные!$D$9))</f>
        <v>0</v>
      </c>
      <c r="W40" s="61">
        <f>IF(W4&gt;Вводные!$D$7,0,V40*(1+Вводные!$D$9))</f>
        <v>0</v>
      </c>
      <c r="X40" s="61">
        <f>IF(X4&gt;Вводные!$D$7,0,W40*(1+Вводные!$D$9))</f>
        <v>0</v>
      </c>
      <c r="Y40" s="61">
        <f>IF(Y4&gt;Вводные!$D$7,0,X40*(1+Вводные!$D$9))</f>
        <v>0</v>
      </c>
      <c r="Z40" s="61">
        <f>IF(Z4&gt;Вводные!$D$7,0,Y40*(1+Вводные!$D$9))</f>
        <v>0</v>
      </c>
      <c r="AA40" s="61">
        <f>IF(AA4&gt;Вводные!$D$7,0,Z40*(1+Вводные!$D$9))</f>
        <v>0</v>
      </c>
      <c r="AB40" s="61">
        <f>IF(AB4&gt;Вводные!$D$7,0,AA40*(1+Вводные!$D$9))</f>
        <v>0</v>
      </c>
      <c r="AC40" s="61">
        <f>IF(AC4&gt;Вводные!$D$7,0,AB40*(1+Вводные!$D$9))</f>
        <v>0</v>
      </c>
      <c r="AD40" s="61">
        <f>IF(AD4&gt;Вводные!$D$7,0,AC40*(1+Вводные!$D$9))</f>
        <v>0</v>
      </c>
      <c r="AE40" s="61">
        <f>IF(AE4&gt;Вводные!$D$7,0,AD40*(1+Вводные!$D$9))</f>
        <v>0</v>
      </c>
      <c r="AF40" s="61">
        <f>IF(AF4&gt;Вводные!$D$7,0,AE40*(1+Вводные!$D$9))</f>
        <v>0</v>
      </c>
      <c r="AG40" s="61">
        <f>IF(AG4&gt;Вводные!$D$7,0,AF40*(1+Вводные!$D$9))</f>
        <v>0</v>
      </c>
      <c r="AH40" s="61">
        <f>IF(AH4&gt;Вводные!$D$7,0,AG40*(1+Вводные!$D$9))</f>
        <v>0</v>
      </c>
      <c r="AI40" s="61">
        <f>IF(AI4&gt;Вводные!$D$7,0,AH40*(1+Вводные!$D$9))</f>
        <v>0</v>
      </c>
      <c r="AJ40" s="61">
        <f>IF(AJ4&gt;Вводные!$D$7,0,AI40*(1+Вводные!$D$9))</f>
        <v>0</v>
      </c>
      <c r="AK40" s="61">
        <f>IF(AK4&gt;Вводные!$D$7,0,AJ40*(1+Вводные!$D$9))</f>
        <v>0</v>
      </c>
      <c r="AL40" s="61">
        <f>IF(AL4&gt;Вводные!$D$7,0,AK40*(1+Вводные!$D$9))</f>
        <v>0</v>
      </c>
      <c r="AM40" s="61">
        <f>IF(AM4&gt;Вводные!$D$7,0,AL40*(1+Вводные!$D$9))</f>
        <v>0</v>
      </c>
      <c r="AN40" s="61">
        <f>IF(AN4&gt;Вводные!$D$7,0,AM40*(1+Вводные!$D$9))</f>
        <v>0</v>
      </c>
      <c r="AO40" s="61">
        <f>IF(AO4&gt;Вводные!$D$7,0,AN40*(1+Вводные!$D$9))</f>
        <v>0</v>
      </c>
      <c r="AP40" s="61">
        <f>IF(AP4&gt;Вводные!$D$7,0,AO40*(1+Вводные!$D$9))</f>
        <v>0</v>
      </c>
      <c r="AQ40" s="61">
        <f>IF(AQ4&gt;Вводные!$D$7,0,AP40*(1+Вводные!$D$9))</f>
        <v>0</v>
      </c>
      <c r="AR40" s="61">
        <f>IF(AR4&gt;Вводные!$D$7,0,AQ40*(1+Вводные!$D$9))</f>
        <v>0</v>
      </c>
      <c r="AS40" s="61">
        <f>IF(AS4&gt;Вводные!$D$7,0,AR40*(1+Вводные!$D$9))</f>
        <v>0</v>
      </c>
      <c r="AT40" s="61">
        <f>IF(AT4&gt;Вводные!$D$7,0,AS40*(1+Вводные!$D$9))</f>
        <v>0</v>
      </c>
      <c r="AU40" s="61">
        <f>IF(AU4&gt;Вводные!$D$7,0,AT40*(1+Вводные!$D$9))</f>
        <v>0</v>
      </c>
      <c r="AV40" s="61">
        <f>IF(AV4&gt;Вводные!$D$7,0,AU40*(1+Вводные!$D$9))</f>
        <v>0</v>
      </c>
      <c r="AW40" s="61">
        <f>IF(AW4&gt;Вводные!$D$7,0,AV40*(1+Вводные!$D$9))</f>
        <v>0</v>
      </c>
      <c r="AX40" s="61">
        <f>IF(AX4&gt;Вводные!$D$7,0,AW40*(1+Вводные!$D$9))</f>
        <v>0</v>
      </c>
      <c r="AY40" s="61">
        <f>IF(AY4&gt;Вводные!$D$7,0,AX40*(1+Вводные!$D$9))</f>
        <v>0</v>
      </c>
      <c r="AZ40" s="61">
        <f>IF(AZ4&gt;Вводные!$D$7,0,AY40*(1+Вводные!$D$9))</f>
        <v>0</v>
      </c>
      <c r="BA40" s="61">
        <f>IF(BA4&gt;Вводные!$D$7,0,AZ40*(1+Вводные!$D$9))</f>
        <v>0</v>
      </c>
      <c r="BB40" s="61">
        <f>IF(BB4&gt;Вводные!$D$7,0,BA40*(1+Вводные!$D$9))</f>
        <v>0</v>
      </c>
    </row>
    <row r="41" spans="2:54" x14ac:dyDescent="0.2">
      <c r="B41" s="2" t="s">
        <v>150</v>
      </c>
      <c r="D41" s="61">
        <f>IF(Вводные!$D$11="Да",-Вводные!$D$14,0)</f>
        <v>-7000000</v>
      </c>
      <c r="E41" s="61">
        <f>IF(E4&gt;Вводные!$D$7,0,IF(Вводные!$D$11="Да",D41-E5,0))</f>
        <v>-6822295.7564565009</v>
      </c>
      <c r="F41" s="61">
        <f>IF(F4&gt;Вводные!$D$7,0,IF(Вводные!$D$11="Да",E41-F5,0))</f>
        <v>-6622054.1668710187</v>
      </c>
      <c r="G41" s="61">
        <f>IF(G4&gt;Вводные!$D$7,0,IF(Вводные!$D$11="Да",F41-G5,0))</f>
        <v>-6396416.9316526838</v>
      </c>
      <c r="H41" s="61">
        <f>IF(H4&gt;Вводные!$D$7,0,IF(Вводные!$D$11="Да",G41-H5,0))</f>
        <v>-6142163.2472788896</v>
      </c>
      <c r="I41" s="61">
        <f>IF(I4&gt;Вводные!$D$7,0,IF(Вводные!$D$11="Да",H41-I5,0))</f>
        <v>-5855663.8317232244</v>
      </c>
      <c r="J41" s="61">
        <f>IF(J4&gt;Вводные!$D$7,0,IF(Вводные!$D$11="Да",I41-J5,0))</f>
        <v>-5532829.1191569204</v>
      </c>
      <c r="K41" s="61">
        <f>IF(K4&gt;Вводные!$D$7,0,IF(Вводные!$D$11="Да",J41-K5,0))</f>
        <v>-5169050.8844417492</v>
      </c>
      <c r="L41" s="61">
        <f>IF(L4&gt;Вводные!$D$7,0,IF(Вводные!$D$11="Да",K41-L5,0))</f>
        <v>-4759136.4641474728</v>
      </c>
      <c r="M41" s="61">
        <f>IF(M4&gt;Вводные!$D$7,0,IF(Вводные!$D$11="Да",L41-M5,0))</f>
        <v>-4297234.6351478454</v>
      </c>
      <c r="N41" s="61">
        <f>IF(N4&gt;Вводные!$D$7,0,IF(Вводные!$D$11="Да",M41-N5,0))</f>
        <v>-3776752.0927673285</v>
      </c>
      <c r="O41" s="61">
        <f>IF(O4&gt;Вводные!$D$7,0,IF(Вводные!$D$11="Да",N41-O5,0))</f>
        <v>-3190259.3362662382</v>
      </c>
      <c r="P41" s="61">
        <f>IF(P4&gt;Вводные!$D$7,0,IF(Вводные!$D$11="Да",O41-P5,0))</f>
        <v>-2529384.6182497153</v>
      </c>
      <c r="Q41" s="61">
        <f>IF(Q4&gt;Вводные!$D$7,0,IF(Вводные!$D$11="Да",P41-Q5,0))</f>
        <v>-1784694.4442072902</v>
      </c>
      <c r="R41" s="61">
        <f>IF(R4&gt;Вводные!$D$7,0,IF(Вводные!$D$11="Да",Q41-R5,0))</f>
        <v>-945558.91640295298</v>
      </c>
      <c r="S41" s="61">
        <f>IF(S4&gt;Вводные!$D$7,0,IF(Вводные!$D$11="Да",R41-S5,0))</f>
        <v>-2.4447217583656311E-8</v>
      </c>
      <c r="T41" s="61">
        <f>IF(T4&gt;Вводные!$D$7,0,IF(Вводные!$D$11="Да",S41-T5,0))</f>
        <v>0</v>
      </c>
      <c r="U41" s="61">
        <f>IF(U4&gt;Вводные!$D$7,0,IF(Вводные!$D$11="Да",T41-U5,0))</f>
        <v>0</v>
      </c>
      <c r="V41" s="61">
        <f>IF(V4&gt;Вводные!$D$7,0,IF(Вводные!$D$11="Да",U41-V5,0))</f>
        <v>0</v>
      </c>
      <c r="W41" s="61">
        <f>IF(W4&gt;Вводные!$D$7,0,IF(Вводные!$D$11="Да",V41-W5,0))</f>
        <v>0</v>
      </c>
      <c r="X41" s="61">
        <f>IF(X4&gt;Вводные!$D$7,0,IF(Вводные!$D$11="Да",W41-X5,0))</f>
        <v>0</v>
      </c>
      <c r="Y41" s="61">
        <f>IF(Y4&gt;Вводные!$D$7,0,IF(Вводные!$D$11="Да",X41-Y5,0))</f>
        <v>0</v>
      </c>
      <c r="Z41" s="61">
        <f>IF(Z4&gt;Вводные!$D$7,0,IF(Вводные!$D$11="Да",Y41-Z5,0))</f>
        <v>0</v>
      </c>
      <c r="AA41" s="61">
        <f>IF(AA4&gt;Вводные!$D$7,0,IF(Вводные!$D$11="Да",Z41-AA5,0))</f>
        <v>0</v>
      </c>
      <c r="AB41" s="61">
        <f>IF(AB4&gt;Вводные!$D$7,0,IF(Вводные!$D$11="Да",AA41-AB5,0))</f>
        <v>0</v>
      </c>
      <c r="AC41" s="61">
        <f>IF(AC4&gt;Вводные!$D$7,0,IF(Вводные!$D$11="Да",AB41-AC5,0))</f>
        <v>0</v>
      </c>
      <c r="AD41" s="61">
        <f>IF(AD4&gt;Вводные!$D$7,0,IF(Вводные!$D$11="Да",AC41-AD5,0))</f>
        <v>0</v>
      </c>
      <c r="AE41" s="61">
        <f>IF(AE4&gt;Вводные!$D$7,0,IF(Вводные!$D$11="Да",AD41-AE5,0))</f>
        <v>0</v>
      </c>
      <c r="AF41" s="61">
        <f>IF(AF4&gt;Вводные!$D$7,0,IF(Вводные!$D$11="Да",AE41-AF5,0))</f>
        <v>0</v>
      </c>
      <c r="AG41" s="61">
        <f>IF(AG4&gt;Вводные!$D$7,0,IF(Вводные!$D$11="Да",AF41-AG5,0))</f>
        <v>0</v>
      </c>
      <c r="AH41" s="61">
        <f>IF(AH4&gt;Вводные!$D$7,0,IF(Вводные!$D$11="Да",AG41-AH5,0))</f>
        <v>0</v>
      </c>
      <c r="AI41" s="61">
        <f>IF(AI4&gt;Вводные!$D$7,0,IF(Вводные!$D$11="Да",AH41-AI5,0))</f>
        <v>0</v>
      </c>
      <c r="AJ41" s="61">
        <f>IF(AJ4&gt;Вводные!$D$7,0,IF(Вводные!$D$11="Да",AI41-AJ5,0))</f>
        <v>0</v>
      </c>
      <c r="AK41" s="61">
        <f>IF(AK4&gt;Вводные!$D$7,0,IF(Вводные!$D$11="Да",AJ41-AK5,0))</f>
        <v>0</v>
      </c>
      <c r="AL41" s="61">
        <f>IF(AL4&gt;Вводные!$D$7,0,IF(Вводные!$D$11="Да",AK41-AL5,0))</f>
        <v>0</v>
      </c>
      <c r="AM41" s="61">
        <f>IF(AM4&gt;Вводные!$D$7,0,IF(Вводные!$D$11="Да",AL41-AM5,0))</f>
        <v>0</v>
      </c>
      <c r="AN41" s="61">
        <f>IF(AN4&gt;Вводные!$D$7,0,IF(Вводные!$D$11="Да",AM41-AN5,0))</f>
        <v>0</v>
      </c>
      <c r="AO41" s="61">
        <f>IF(AO4&gt;Вводные!$D$7,0,IF(Вводные!$D$11="Да",AN41-AO5,0))</f>
        <v>0</v>
      </c>
      <c r="AP41" s="61">
        <f>IF(AP4&gt;Вводные!$D$7,0,IF(Вводные!$D$11="Да",AO41-AP5,0))</f>
        <v>0</v>
      </c>
      <c r="AQ41" s="61">
        <f>IF(AQ4&gt;Вводные!$D$7,0,IF(Вводные!$D$11="Да",AP41-AQ5,0))</f>
        <v>0</v>
      </c>
      <c r="AR41" s="61">
        <f>IF(AR4&gt;Вводные!$D$7,0,IF(Вводные!$D$11="Да",AQ41-AR5,0))</f>
        <v>0</v>
      </c>
      <c r="AS41" s="61">
        <f>IF(AS4&gt;Вводные!$D$7,0,IF(Вводные!$D$11="Да",AR41-AS5,0))</f>
        <v>0</v>
      </c>
      <c r="AT41" s="61">
        <f>IF(AT4&gt;Вводные!$D$7,0,IF(Вводные!$D$11="Да",AS41-AT5,0))</f>
        <v>0</v>
      </c>
      <c r="AU41" s="61">
        <f>IF(AU4&gt;Вводные!$D$7,0,IF(Вводные!$D$11="Да",AT41-AU5,0))</f>
        <v>0</v>
      </c>
      <c r="AV41" s="61">
        <f>IF(AV4&gt;Вводные!$D$7,0,IF(Вводные!$D$11="Да",AU41-AV5,0))</f>
        <v>0</v>
      </c>
      <c r="AW41" s="61">
        <f>IF(AW4&gt;Вводные!$D$7,0,IF(Вводные!$D$11="Да",AV41-AW5,0))</f>
        <v>0</v>
      </c>
      <c r="AX41" s="61">
        <f>IF(AX4&gt;Вводные!$D$7,0,IF(Вводные!$D$11="Да",AW41-AX5,0))</f>
        <v>0</v>
      </c>
      <c r="AY41" s="61">
        <f>IF(AY4&gt;Вводные!$D$7,0,IF(Вводные!$D$11="Да",AX41-AY5,0))</f>
        <v>0</v>
      </c>
      <c r="AZ41" s="61">
        <f>IF(AZ4&gt;Вводные!$D$7,0,IF(Вводные!$D$11="Да",AY41-AZ5,0))</f>
        <v>0</v>
      </c>
      <c r="BA41" s="61">
        <f>IF(BA4&gt;Вводные!$D$7,0,IF(Вводные!$D$11="Да",AZ41-BA5,0))</f>
        <v>0</v>
      </c>
      <c r="BB41" s="61">
        <f>IF(BB4&gt;Вводные!$D$7,0,IF(Вводные!$D$11="Да",BA41-BB5,0))</f>
        <v>0</v>
      </c>
    </row>
    <row r="42" spans="2:54" s="96" customFormat="1" x14ac:dyDescent="0.2">
      <c r="B42" s="62" t="s">
        <v>151</v>
      </c>
      <c r="C42" s="62"/>
      <c r="D42" s="107">
        <f>D40+D41</f>
        <v>3000000</v>
      </c>
      <c r="E42" s="107">
        <f>E40+E41</f>
        <v>4077704.2435434991</v>
      </c>
      <c r="F42" s="107">
        <f t="shared" ref="F42:BB42" si="57">F40+F41</f>
        <v>5258945.8331289813</v>
      </c>
      <c r="G42" s="107">
        <f t="shared" si="57"/>
        <v>6553873.0683473181</v>
      </c>
      <c r="H42" s="107">
        <f t="shared" si="57"/>
        <v>7973652.8527211137</v>
      </c>
      <c r="I42" s="107">
        <f t="shared" si="57"/>
        <v>9530575.7172767799</v>
      </c>
      <c r="J42" s="107">
        <f t="shared" si="57"/>
        <v>11238171.989253085</v>
      </c>
      <c r="K42" s="107">
        <f t="shared" si="57"/>
        <v>13111340.32372516</v>
      </c>
      <c r="L42" s="107">
        <f t="shared" si="57"/>
        <v>15166489.952754458</v>
      </c>
      <c r="M42" s="107">
        <f t="shared" si="57"/>
        <v>17421698.159275264</v>
      </c>
      <c r="N42" s="107">
        <f t="shared" si="57"/>
        <v>19896884.653153859</v>
      </c>
      <c r="O42" s="107">
        <f t="shared" si="57"/>
        <v>22614004.716787856</v>
      </c>
      <c r="P42" s="107">
        <f t="shared" si="57"/>
        <v>25597263.19957925</v>
      </c>
      <c r="Q42" s="107">
        <f t="shared" si="57"/>
        <v>28873351.677226283</v>
      </c>
      <c r="R42" s="107">
        <f t="shared" si="57"/>
        <v>32471711.355959643</v>
      </c>
      <c r="S42" s="107">
        <f t="shared" si="57"/>
        <v>36424824.596875213</v>
      </c>
      <c r="T42" s="107">
        <f t="shared" si="57"/>
        <v>0</v>
      </c>
      <c r="U42" s="107">
        <f t="shared" si="57"/>
        <v>0</v>
      </c>
      <c r="V42" s="107">
        <f t="shared" si="57"/>
        <v>0</v>
      </c>
      <c r="W42" s="107">
        <f t="shared" si="57"/>
        <v>0</v>
      </c>
      <c r="X42" s="107">
        <f>X40+X41</f>
        <v>0</v>
      </c>
      <c r="Y42" s="107">
        <f t="shared" si="57"/>
        <v>0</v>
      </c>
      <c r="Z42" s="107">
        <f t="shared" si="57"/>
        <v>0</v>
      </c>
      <c r="AA42" s="107">
        <f t="shared" si="57"/>
        <v>0</v>
      </c>
      <c r="AB42" s="107">
        <f t="shared" si="57"/>
        <v>0</v>
      </c>
      <c r="AC42" s="107">
        <f t="shared" si="57"/>
        <v>0</v>
      </c>
      <c r="AD42" s="107">
        <f t="shared" si="57"/>
        <v>0</v>
      </c>
      <c r="AE42" s="107">
        <f t="shared" si="57"/>
        <v>0</v>
      </c>
      <c r="AF42" s="107">
        <f t="shared" si="57"/>
        <v>0</v>
      </c>
      <c r="AG42" s="107">
        <f t="shared" si="57"/>
        <v>0</v>
      </c>
      <c r="AH42" s="107">
        <f t="shared" si="57"/>
        <v>0</v>
      </c>
      <c r="AI42" s="107">
        <f t="shared" si="57"/>
        <v>0</v>
      </c>
      <c r="AJ42" s="107">
        <f t="shared" si="57"/>
        <v>0</v>
      </c>
      <c r="AK42" s="107">
        <f t="shared" si="57"/>
        <v>0</v>
      </c>
      <c r="AL42" s="107">
        <f t="shared" si="57"/>
        <v>0</v>
      </c>
      <c r="AM42" s="107">
        <f t="shared" si="57"/>
        <v>0</v>
      </c>
      <c r="AN42" s="107">
        <f t="shared" si="57"/>
        <v>0</v>
      </c>
      <c r="AO42" s="107">
        <f t="shared" si="57"/>
        <v>0</v>
      </c>
      <c r="AP42" s="107">
        <f t="shared" si="57"/>
        <v>0</v>
      </c>
      <c r="AQ42" s="107">
        <f t="shared" si="57"/>
        <v>0</v>
      </c>
      <c r="AR42" s="107">
        <f t="shared" si="57"/>
        <v>0</v>
      </c>
      <c r="AS42" s="107">
        <f t="shared" si="57"/>
        <v>0</v>
      </c>
      <c r="AT42" s="107">
        <f t="shared" si="57"/>
        <v>0</v>
      </c>
      <c r="AU42" s="107">
        <f t="shared" si="57"/>
        <v>0</v>
      </c>
      <c r="AV42" s="107">
        <f t="shared" si="57"/>
        <v>0</v>
      </c>
      <c r="AW42" s="107">
        <f t="shared" si="57"/>
        <v>0</v>
      </c>
      <c r="AX42" s="107">
        <f t="shared" si="57"/>
        <v>0</v>
      </c>
      <c r="AY42" s="107">
        <f t="shared" si="57"/>
        <v>0</v>
      </c>
      <c r="AZ42" s="107">
        <f t="shared" si="57"/>
        <v>0</v>
      </c>
      <c r="BA42" s="107">
        <f t="shared" si="57"/>
        <v>0</v>
      </c>
      <c r="BB42" s="107">
        <f t="shared" si="57"/>
        <v>0</v>
      </c>
    </row>
    <row r="43" spans="2:54" s="99" customFormat="1" x14ac:dyDescent="0.2">
      <c r="B43" s="99" t="s">
        <v>194</v>
      </c>
      <c r="E43" s="101">
        <f>IFERROR(IF(E42-D42=-D42,"",E42/D42-1),"")</f>
        <v>0.35923474784783305</v>
      </c>
      <c r="F43" s="101">
        <f>IFERROR(IF(F42-E42=-E42,"",F42/E42-1),"")</f>
        <v>0.28968299784267604</v>
      </c>
      <c r="G43" s="101">
        <f t="shared" ref="G43:BB43" si="58">IFERROR(IF(G42-F42=-F42,"",G42/F42-1),"")</f>
        <v>0.24623323310555523</v>
      </c>
      <c r="H43" s="101">
        <f t="shared" si="58"/>
        <v>0.21663217605339113</v>
      </c>
      <c r="I43" s="101">
        <f t="shared" si="58"/>
        <v>0.19525842086595802</v>
      </c>
      <c r="J43" s="101">
        <f t="shared" si="58"/>
        <v>0.17917031694956465</v>
      </c>
      <c r="K43" s="101">
        <f t="shared" si="58"/>
        <v>0.16667909480860055</v>
      </c>
      <c r="L43" s="101">
        <f t="shared" si="58"/>
        <v>0.15674596023645848</v>
      </c>
      <c r="M43" s="101">
        <f t="shared" si="58"/>
        <v>0.14869677911936541</v>
      </c>
      <c r="N43" s="101">
        <f t="shared" si="58"/>
        <v>0.14207492698183466</v>
      </c>
      <c r="O43" s="101">
        <f t="shared" si="58"/>
        <v>0.1365600751574596</v>
      </c>
      <c r="P43" s="101">
        <f t="shared" si="58"/>
        <v>0.13192083932735388</v>
      </c>
      <c r="Q43" s="101">
        <f t="shared" si="58"/>
        <v>0.12798588865159943</v>
      </c>
      <c r="R43" s="101">
        <f t="shared" si="58"/>
        <v>0.12462563123807846</v>
      </c>
      <c r="S43" s="101">
        <f t="shared" si="58"/>
        <v>0.12174021866543971</v>
      </c>
      <c r="T43" s="101" t="str">
        <f t="shared" si="58"/>
        <v/>
      </c>
      <c r="U43" s="101" t="str">
        <f t="shared" si="58"/>
        <v/>
      </c>
      <c r="V43" s="101" t="str">
        <f t="shared" si="58"/>
        <v/>
      </c>
      <c r="W43" s="101" t="str">
        <f t="shared" si="58"/>
        <v/>
      </c>
      <c r="X43" s="101" t="str">
        <f>IFERROR(IF(X42-W42=-W42,"",X42/W42-1),"")</f>
        <v/>
      </c>
      <c r="Y43" s="101" t="str">
        <f t="shared" si="58"/>
        <v/>
      </c>
      <c r="Z43" s="101" t="str">
        <f t="shared" si="58"/>
        <v/>
      </c>
      <c r="AA43" s="101" t="str">
        <f t="shared" si="58"/>
        <v/>
      </c>
      <c r="AB43" s="101" t="str">
        <f t="shared" si="58"/>
        <v/>
      </c>
      <c r="AC43" s="101" t="str">
        <f t="shared" si="58"/>
        <v/>
      </c>
      <c r="AD43" s="101" t="str">
        <f t="shared" si="58"/>
        <v/>
      </c>
      <c r="AE43" s="101" t="str">
        <f t="shared" si="58"/>
        <v/>
      </c>
      <c r="AF43" s="101" t="str">
        <f t="shared" si="58"/>
        <v/>
      </c>
      <c r="AG43" s="101" t="str">
        <f t="shared" si="58"/>
        <v/>
      </c>
      <c r="AH43" s="101" t="str">
        <f t="shared" si="58"/>
        <v/>
      </c>
      <c r="AI43" s="101" t="str">
        <f t="shared" si="58"/>
        <v/>
      </c>
      <c r="AJ43" s="101" t="str">
        <f t="shared" si="58"/>
        <v/>
      </c>
      <c r="AK43" s="101" t="str">
        <f t="shared" si="58"/>
        <v/>
      </c>
      <c r="AL43" s="101" t="str">
        <f t="shared" si="58"/>
        <v/>
      </c>
      <c r="AM43" s="101" t="str">
        <f t="shared" si="58"/>
        <v/>
      </c>
      <c r="AN43" s="101" t="str">
        <f t="shared" si="58"/>
        <v/>
      </c>
      <c r="AO43" s="101" t="str">
        <f t="shared" si="58"/>
        <v/>
      </c>
      <c r="AP43" s="101" t="str">
        <f t="shared" si="58"/>
        <v/>
      </c>
      <c r="AQ43" s="101" t="str">
        <f t="shared" si="58"/>
        <v/>
      </c>
      <c r="AR43" s="101" t="str">
        <f t="shared" si="58"/>
        <v/>
      </c>
      <c r="AS43" s="101" t="str">
        <f t="shared" si="58"/>
        <v/>
      </c>
      <c r="AT43" s="101" t="str">
        <f t="shared" si="58"/>
        <v/>
      </c>
      <c r="AU43" s="101" t="str">
        <f t="shared" si="58"/>
        <v/>
      </c>
      <c r="AV43" s="101" t="str">
        <f t="shared" si="58"/>
        <v/>
      </c>
      <c r="AW43" s="101" t="str">
        <f t="shared" si="58"/>
        <v/>
      </c>
      <c r="AX43" s="101" t="str">
        <f t="shared" si="58"/>
        <v/>
      </c>
      <c r="AY43" s="101" t="str">
        <f t="shared" si="58"/>
        <v/>
      </c>
      <c r="AZ43" s="101" t="str">
        <f t="shared" si="58"/>
        <v/>
      </c>
      <c r="BA43" s="101" t="str">
        <f t="shared" si="58"/>
        <v/>
      </c>
      <c r="BB43" s="101" t="str">
        <f t="shared" si="58"/>
        <v/>
      </c>
    </row>
    <row r="44" spans="2:54" x14ac:dyDescent="0.2">
      <c r="B44" s="2" t="s">
        <v>152</v>
      </c>
      <c r="D44" s="61">
        <f>-Вводные!$D$34*Покупка!D40</f>
        <v>-300000</v>
      </c>
      <c r="E44" s="61">
        <f>-Вводные!$D$34*Покупка!E40</f>
        <v>-327000</v>
      </c>
      <c r="F44" s="61">
        <f>IF(F4&gt;Вводные!$D$7,0,-Вводные!$D$34*Покупка!F40)</f>
        <v>-356430</v>
      </c>
      <c r="G44" s="61">
        <f>IF(G4&gt;Вводные!$D$7,0,-Вводные!$D$34*Покупка!G40)</f>
        <v>-388508.70000000007</v>
      </c>
      <c r="H44" s="61">
        <f>IF(H4&gt;Вводные!$D$7,0,-Вводные!$D$34*Покупка!H40)</f>
        <v>-423474.48300000007</v>
      </c>
      <c r="I44" s="61">
        <f>IF(I4&gt;Вводные!$D$7,0,-Вводные!$D$34*Покупка!I40)</f>
        <v>-461587.18647000013</v>
      </c>
      <c r="J44" s="61">
        <f>IF(J4&gt;Вводные!$D$7,0,-Вводные!$D$34*Покупка!J40)</f>
        <v>-503130.03325230017</v>
      </c>
      <c r="K44" s="61">
        <f>IF(K4&gt;Вводные!$D$7,0,-Вводные!$D$34*Покупка!K40)</f>
        <v>-548411.73624500725</v>
      </c>
      <c r="L44" s="61">
        <f>IF(L4&gt;Вводные!$D$7,0,-Вводные!$D$34*Покупка!L40)</f>
        <v>-597768.79250705789</v>
      </c>
      <c r="M44" s="61">
        <f>IF(M4&gt;Вводные!$D$7,0,-Вводные!$D$34*Покупка!M40)</f>
        <v>-651567.98383269319</v>
      </c>
      <c r="N44" s="61">
        <f>IF(N4&gt;Вводные!$D$7,0,-Вводные!$D$34*Покупка!N40)</f>
        <v>-710209.10237763554</v>
      </c>
      <c r="O44" s="61">
        <f>IF(O4&gt;Вводные!$D$7,0,-Вводные!$D$34*Покупка!O40)</f>
        <v>-774127.92159162275</v>
      </c>
      <c r="P44" s="61">
        <f>IF(P4&gt;Вводные!$D$7,0,-Вводные!$D$34*Покупка!P40)</f>
        <v>-843799.43453486892</v>
      </c>
      <c r="Q44" s="61">
        <f>IF(Q4&gt;Вводные!$D$7,0,-Вводные!$D$34*Покупка!Q40)</f>
        <v>-919741.38364300726</v>
      </c>
      <c r="R44" s="61">
        <f>IF(R4&gt;Вводные!$D$7,0,-Вводные!$D$34*Покупка!R40)</f>
        <v>-1002518.1081708779</v>
      </c>
      <c r="S44" s="61">
        <f>IF(S4&gt;Вводные!$D$7,0,-Вводные!$D$34*Покупка!S40)</f>
        <v>-1092744.7379062569</v>
      </c>
      <c r="T44" s="61">
        <f>IF(T4&gt;Вводные!$D$7,0,-Вводные!$D$34*Покупка!T40)</f>
        <v>0</v>
      </c>
      <c r="U44" s="61">
        <f>IF(U4&gt;Вводные!$D$7,0,-Вводные!$D$34*Покупка!U40)</f>
        <v>0</v>
      </c>
      <c r="V44" s="61">
        <f>IF(V4&gt;Вводные!$D$7,0,-Вводные!$D$34*Покупка!V40)</f>
        <v>0</v>
      </c>
      <c r="W44" s="61">
        <f>IF(W4&gt;Вводные!$D$7,0,-Вводные!$D$34*Покупка!W40)</f>
        <v>0</v>
      </c>
      <c r="X44" s="61">
        <f>IF(X4&gt;Вводные!$D$7,0,-Вводные!$D$34*Покупка!X40)</f>
        <v>0</v>
      </c>
      <c r="Y44" s="61">
        <f>IF(Y4&gt;Вводные!$D$7,0,-Вводные!$D$34*Покупка!Y40)</f>
        <v>0</v>
      </c>
      <c r="Z44" s="61">
        <f>IF(Z4&gt;Вводные!$D$7,0,-Вводные!$D$34*Покупка!Z40)</f>
        <v>0</v>
      </c>
      <c r="AA44" s="61">
        <f>IF(AA4&gt;Вводные!$D$7,0,-Вводные!$D$34*Покупка!AA40)</f>
        <v>0</v>
      </c>
      <c r="AB44" s="61">
        <f>IF(AB4&gt;Вводные!$D$7,0,-Вводные!$D$34*Покупка!AB40)</f>
        <v>0</v>
      </c>
      <c r="AC44" s="61">
        <f>IF(AC4&gt;Вводные!$D$7,0,-Вводные!$D$34*Покупка!AC40)</f>
        <v>0</v>
      </c>
      <c r="AD44" s="61">
        <f>IF(AD4&gt;Вводные!$D$7,0,-Вводные!$D$34*Покупка!AD40)</f>
        <v>0</v>
      </c>
      <c r="AE44" s="61">
        <f>IF(AE4&gt;Вводные!$D$7,0,-Вводные!$D$34*Покупка!AE40)</f>
        <v>0</v>
      </c>
      <c r="AF44" s="61">
        <f>IF(AF4&gt;Вводные!$D$7,0,-Вводные!$D$34*Покупка!AF40)</f>
        <v>0</v>
      </c>
      <c r="AG44" s="61">
        <f>IF(AG4&gt;Вводные!$D$7,0,-Вводные!$D$34*Покупка!AG40)</f>
        <v>0</v>
      </c>
      <c r="AH44" s="61">
        <f>IF(AH4&gt;Вводные!$D$7,0,-Вводные!$D$34*Покупка!AH40)</f>
        <v>0</v>
      </c>
      <c r="AI44" s="61">
        <f>IF(AI4&gt;Вводные!$D$7,0,-Вводные!$D$34*Покупка!AI40)</f>
        <v>0</v>
      </c>
      <c r="AJ44" s="61">
        <f>IF(AJ4&gt;Вводные!$D$7,0,-Вводные!$D$34*Покупка!AJ40)</f>
        <v>0</v>
      </c>
      <c r="AK44" s="61">
        <f>IF(AK4&gt;Вводные!$D$7,0,-Вводные!$D$34*Покупка!AK40)</f>
        <v>0</v>
      </c>
      <c r="AL44" s="61">
        <f>IF(AL4&gt;Вводные!$D$7,0,-Вводные!$D$34*Покупка!AL40)</f>
        <v>0</v>
      </c>
      <c r="AM44" s="61">
        <f>IF(AM4&gt;Вводные!$D$7,0,-Вводные!$D$34*Покупка!AM40)</f>
        <v>0</v>
      </c>
      <c r="AN44" s="61">
        <f>IF(AN4&gt;Вводные!$D$7,0,-Вводные!$D$34*Покупка!AN40)</f>
        <v>0</v>
      </c>
      <c r="AO44" s="61">
        <f>IF(AO4&gt;Вводные!$D$7,0,-Вводные!$D$34*Покупка!AO40)</f>
        <v>0</v>
      </c>
      <c r="AP44" s="61">
        <f>IF(AP4&gt;Вводные!$D$7,0,-Вводные!$D$34*Покупка!AP40)</f>
        <v>0</v>
      </c>
      <c r="AQ44" s="61">
        <f>IF(AQ4&gt;Вводные!$D$7,0,-Вводные!$D$34*Покупка!AQ40)</f>
        <v>0</v>
      </c>
      <c r="AR44" s="61">
        <f>IF(AR4&gt;Вводные!$D$7,0,-Вводные!$D$34*Покупка!AR40)</f>
        <v>0</v>
      </c>
      <c r="AS44" s="61">
        <f>IF(AS4&gt;Вводные!$D$7,0,-Вводные!$D$34*Покупка!AS40)</f>
        <v>0</v>
      </c>
      <c r="AT44" s="61">
        <f>IF(AT4&gt;Вводные!$D$7,0,-Вводные!$D$34*Покупка!AT40)</f>
        <v>0</v>
      </c>
      <c r="AU44" s="61">
        <f>IF(AU4&gt;Вводные!$D$7,0,-Вводные!$D$34*Покупка!AU40)</f>
        <v>0</v>
      </c>
      <c r="AV44" s="61">
        <f>IF(AV4&gt;Вводные!$D$7,0,-Вводные!$D$34*Покупка!AV40)</f>
        <v>0</v>
      </c>
      <c r="AW44" s="61">
        <f>IF(AW4&gt;Вводные!$D$7,0,-Вводные!$D$34*Покупка!AW40)</f>
        <v>0</v>
      </c>
      <c r="AX44" s="61">
        <f>IF(AX4&gt;Вводные!$D$7,0,-Вводные!$D$34*Покупка!AX40)</f>
        <v>0</v>
      </c>
      <c r="AY44" s="61">
        <f>IF(AY4&gt;Вводные!$D$7,0,-Вводные!$D$34*Покупка!AY40)</f>
        <v>0</v>
      </c>
      <c r="AZ44" s="61">
        <f>IF(AZ4&gt;Вводные!$D$7,0,-Вводные!$D$34*Покупка!AZ40)</f>
        <v>0</v>
      </c>
      <c r="BA44" s="61">
        <f>IF(BA4&gt;Вводные!$D$7,0,-Вводные!$D$34*Покупка!BA40)</f>
        <v>0</v>
      </c>
      <c r="BB44" s="61">
        <f>IF(BB4&gt;Вводные!$D$7,0,-Вводные!$D$34*Покупка!BB40)</f>
        <v>0</v>
      </c>
    </row>
    <row r="45" spans="2:54" s="96" customFormat="1" x14ac:dyDescent="0.2">
      <c r="B45" s="62" t="s">
        <v>153</v>
      </c>
      <c r="C45" s="62"/>
      <c r="D45" s="107">
        <f>D44+D42</f>
        <v>2700000</v>
      </c>
      <c r="E45" s="107">
        <f>E44+E42</f>
        <v>3750704.2435434991</v>
      </c>
      <c r="F45" s="107">
        <f t="shared" ref="F45:BB45" si="59">F44+F42</f>
        <v>4902515.8331289813</v>
      </c>
      <c r="G45" s="107">
        <f t="shared" si="59"/>
        <v>6165364.3683473179</v>
      </c>
      <c r="H45" s="107">
        <f t="shared" si="59"/>
        <v>7550178.3697211137</v>
      </c>
      <c r="I45" s="107">
        <f t="shared" si="59"/>
        <v>9068988.5308067799</v>
      </c>
      <c r="J45" s="107">
        <f t="shared" si="59"/>
        <v>10735041.956000784</v>
      </c>
      <c r="K45" s="107">
        <f t="shared" si="59"/>
        <v>12562928.587480154</v>
      </c>
      <c r="L45" s="107">
        <f t="shared" si="59"/>
        <v>14568721.1602474</v>
      </c>
      <c r="M45" s="107">
        <f t="shared" si="59"/>
        <v>16770130.175442571</v>
      </c>
      <c r="N45" s="107">
        <f t="shared" si="59"/>
        <v>19186675.550776225</v>
      </c>
      <c r="O45" s="107">
        <f t="shared" si="59"/>
        <v>21839876.795196235</v>
      </c>
      <c r="P45" s="107">
        <f t="shared" si="59"/>
        <v>24753463.76504438</v>
      </c>
      <c r="Q45" s="107">
        <f t="shared" si="59"/>
        <v>27953610.293583274</v>
      </c>
      <c r="R45" s="107">
        <f t="shared" si="59"/>
        <v>31469193.247788765</v>
      </c>
      <c r="S45" s="107">
        <f t="shared" si="59"/>
        <v>35332079.858968958</v>
      </c>
      <c r="T45" s="107">
        <f t="shared" si="59"/>
        <v>0</v>
      </c>
      <c r="U45" s="107">
        <f t="shared" si="59"/>
        <v>0</v>
      </c>
      <c r="V45" s="107">
        <f t="shared" si="59"/>
        <v>0</v>
      </c>
      <c r="W45" s="107">
        <f t="shared" si="59"/>
        <v>0</v>
      </c>
      <c r="X45" s="107">
        <f>X44+X42</f>
        <v>0</v>
      </c>
      <c r="Y45" s="107">
        <f t="shared" si="59"/>
        <v>0</v>
      </c>
      <c r="Z45" s="107">
        <f t="shared" si="59"/>
        <v>0</v>
      </c>
      <c r="AA45" s="107">
        <f t="shared" si="59"/>
        <v>0</v>
      </c>
      <c r="AB45" s="107">
        <f t="shared" si="59"/>
        <v>0</v>
      </c>
      <c r="AC45" s="107">
        <f t="shared" si="59"/>
        <v>0</v>
      </c>
      <c r="AD45" s="107">
        <f t="shared" si="59"/>
        <v>0</v>
      </c>
      <c r="AE45" s="107">
        <f t="shared" si="59"/>
        <v>0</v>
      </c>
      <c r="AF45" s="107">
        <f t="shared" si="59"/>
        <v>0</v>
      </c>
      <c r="AG45" s="107">
        <f t="shared" si="59"/>
        <v>0</v>
      </c>
      <c r="AH45" s="107">
        <f t="shared" si="59"/>
        <v>0</v>
      </c>
      <c r="AI45" s="107">
        <f t="shared" si="59"/>
        <v>0</v>
      </c>
      <c r="AJ45" s="107">
        <f t="shared" si="59"/>
        <v>0</v>
      </c>
      <c r="AK45" s="107">
        <f t="shared" si="59"/>
        <v>0</v>
      </c>
      <c r="AL45" s="107">
        <f t="shared" si="59"/>
        <v>0</v>
      </c>
      <c r="AM45" s="107">
        <f t="shared" si="59"/>
        <v>0</v>
      </c>
      <c r="AN45" s="107">
        <f t="shared" si="59"/>
        <v>0</v>
      </c>
      <c r="AO45" s="107">
        <f t="shared" si="59"/>
        <v>0</v>
      </c>
      <c r="AP45" s="107">
        <f t="shared" si="59"/>
        <v>0</v>
      </c>
      <c r="AQ45" s="107">
        <f t="shared" si="59"/>
        <v>0</v>
      </c>
      <c r="AR45" s="107">
        <f t="shared" si="59"/>
        <v>0</v>
      </c>
      <c r="AS45" s="107">
        <f t="shared" si="59"/>
        <v>0</v>
      </c>
      <c r="AT45" s="107">
        <f t="shared" si="59"/>
        <v>0</v>
      </c>
      <c r="AU45" s="107">
        <f t="shared" si="59"/>
        <v>0</v>
      </c>
      <c r="AV45" s="107">
        <f t="shared" si="59"/>
        <v>0</v>
      </c>
      <c r="AW45" s="107">
        <f t="shared" si="59"/>
        <v>0</v>
      </c>
      <c r="AX45" s="107">
        <f t="shared" si="59"/>
        <v>0</v>
      </c>
      <c r="AY45" s="107">
        <f t="shared" si="59"/>
        <v>0</v>
      </c>
      <c r="AZ45" s="107">
        <f t="shared" si="59"/>
        <v>0</v>
      </c>
      <c r="BA45" s="107">
        <f t="shared" si="59"/>
        <v>0</v>
      </c>
      <c r="BB45" s="107">
        <f t="shared" si="59"/>
        <v>0</v>
      </c>
    </row>
    <row r="46" spans="2:54" x14ac:dyDescent="0.2">
      <c r="B46" s="2" t="s">
        <v>154</v>
      </c>
      <c r="E46" s="13">
        <f>IF(-Аренда!E9+E36&gt;0,-Аренда!E9+E36,0)</f>
        <v>0</v>
      </c>
      <c r="F46" s="13">
        <f>IF(-Аренда!F9+F36&gt;0,-Аренда!F9+F36,0)</f>
        <v>0</v>
      </c>
      <c r="G46" s="13">
        <f>IF(-Аренда!G9+G36&gt;0,-Аренда!G9+G36,0)</f>
        <v>0</v>
      </c>
      <c r="H46" s="13">
        <f>IF(-Аренда!H9+H36&gt;0,-Аренда!H9+H36,0)</f>
        <v>0</v>
      </c>
      <c r="I46" s="13">
        <f>IF(-Аренда!I9+I36&gt;0,-Аренда!I9+I36,0)</f>
        <v>0</v>
      </c>
      <c r="J46" s="13">
        <f>IF(-Аренда!J9+J36&gt;0,-Аренда!J9+J36,0)</f>
        <v>0</v>
      </c>
      <c r="K46" s="13">
        <f>IF(-Аренда!K9+K36&gt;0,-Аренда!K9+K36,0)</f>
        <v>0</v>
      </c>
      <c r="L46" s="13">
        <f>IF(-Аренда!L9+L36&gt;0,-Аренда!L9+L36,0)</f>
        <v>0</v>
      </c>
      <c r="M46" s="13">
        <f>IF(-Аренда!M9+M36&gt;0,-Аренда!M9+M36,0)</f>
        <v>0</v>
      </c>
      <c r="N46" s="13">
        <f>IF(-Аренда!N9+N36&gt;0,-Аренда!N9+N36,0)</f>
        <v>0</v>
      </c>
      <c r="O46" s="13">
        <f>IF(-Аренда!O9+O36&gt;0,-Аренда!O9+O36,0)</f>
        <v>0</v>
      </c>
      <c r="P46" s="13">
        <f>IF(-Аренда!P9+P36&gt;0,-Аренда!P9+P36,0)</f>
        <v>0</v>
      </c>
      <c r="Q46" s="13">
        <f>IF(-Аренда!Q9+Q36&gt;0,-Аренда!Q9+Q36,0)</f>
        <v>0</v>
      </c>
      <c r="R46" s="13">
        <f>IF(-Аренда!R9+R36&gt;0,-Аренда!R9+R36,0)</f>
        <v>0</v>
      </c>
      <c r="S46" s="13">
        <f>IF(-Аренда!S9+S36&gt;0,-Аренда!S9+S36,0)</f>
        <v>15763.988988318481</v>
      </c>
      <c r="T46" s="13">
        <f>IF(-Аренда!T9+T36&gt;0,-Аренда!T9+T36,0)</f>
        <v>0</v>
      </c>
      <c r="U46" s="13">
        <f>IF(-Аренда!U9+U36&gt;0,-Аренда!U9+U36,0)</f>
        <v>0</v>
      </c>
      <c r="V46" s="13">
        <f>IF(-Аренда!V9+V36&gt;0,-Аренда!V9+V36,0)</f>
        <v>0</v>
      </c>
      <c r="W46" s="13">
        <f>IF(-Аренда!W9+W36&gt;0,-Аренда!W9+W36,0)</f>
        <v>0</v>
      </c>
      <c r="X46" s="13">
        <f>IF(-Аренда!X9+X36&gt;0,-Аренда!X9+X36,0)</f>
        <v>0</v>
      </c>
      <c r="Y46" s="13">
        <f>IF(-Аренда!Y9+Y36&gt;0,-Аренда!Y9+Y36,0)</f>
        <v>0</v>
      </c>
      <c r="Z46" s="13">
        <f>IF(-Аренда!Z9+Z36&gt;0,-Аренда!Z9+Z36,0)</f>
        <v>0</v>
      </c>
      <c r="AA46" s="13">
        <f>IF(-Аренда!AA9+AA36&gt;0,-Аренда!AA9+AA36,0)</f>
        <v>0</v>
      </c>
      <c r="AB46" s="13">
        <f>IF(-Аренда!AB9+AB36&gt;0,-Аренда!AB9+AB36,0)</f>
        <v>0</v>
      </c>
      <c r="AC46" s="13">
        <f>IF(-Аренда!AC9+AC36&gt;0,-Аренда!AC9+AC36,0)</f>
        <v>0</v>
      </c>
      <c r="AD46" s="13">
        <f>IF(-Аренда!AD9+AD36&gt;0,-Аренда!AD9+AD36,0)</f>
        <v>0</v>
      </c>
      <c r="AE46" s="13">
        <f>IF(-Аренда!AE9+AE36&gt;0,-Аренда!AE9+AE36,0)</f>
        <v>0</v>
      </c>
      <c r="AF46" s="13">
        <f>IF(-Аренда!AF9+AF36&gt;0,-Аренда!AF9+AF36,0)</f>
        <v>0</v>
      </c>
      <c r="AG46" s="13">
        <f>IF(-Аренда!AG9+AG36&gt;0,-Аренда!AG9+AG36,0)</f>
        <v>0</v>
      </c>
      <c r="AH46" s="13">
        <f>IF(-Аренда!AH9+AH36&gt;0,-Аренда!AH9+AH36,0)</f>
        <v>0</v>
      </c>
      <c r="AI46" s="13">
        <f>IF(-Аренда!AI9+AI36&gt;0,-Аренда!AI9+AI36,0)</f>
        <v>0</v>
      </c>
      <c r="AJ46" s="13">
        <f>IF(-Аренда!AJ9+AJ36&gt;0,-Аренда!AJ9+AJ36,0)</f>
        <v>0</v>
      </c>
      <c r="AK46" s="13">
        <f>IF(-Аренда!AK9+AK36&gt;0,-Аренда!AK9+AK36,0)</f>
        <v>0</v>
      </c>
      <c r="AL46" s="13">
        <f>IF(-Аренда!AL9+AL36&gt;0,-Аренда!AL9+AL36,0)</f>
        <v>0</v>
      </c>
      <c r="AM46" s="13">
        <f>IF(-Аренда!AM9+AM36&gt;0,-Аренда!AM9+AM36,0)</f>
        <v>0</v>
      </c>
      <c r="AN46" s="13">
        <f>IF(-Аренда!AN9+AN36&gt;0,-Аренда!AN9+AN36,0)</f>
        <v>0</v>
      </c>
      <c r="AO46" s="13">
        <f>IF(-Аренда!AO9+AO36&gt;0,-Аренда!AO9+AO36,0)</f>
        <v>0</v>
      </c>
      <c r="AP46" s="13">
        <f>IF(-Аренда!AP9+AP36&gt;0,-Аренда!AP9+AP36,0)</f>
        <v>0</v>
      </c>
      <c r="AQ46" s="13">
        <f>IF(-Аренда!AQ9+AQ36&gt;0,-Аренда!AQ9+AQ36,0)</f>
        <v>0</v>
      </c>
      <c r="AR46" s="13">
        <f>IF(-Аренда!AR9+AR36&gt;0,-Аренда!AR9+AR36,0)</f>
        <v>0</v>
      </c>
      <c r="AS46" s="13">
        <f>IF(-Аренда!AS9+AS36&gt;0,-Аренда!AS9+AS36,0)</f>
        <v>0</v>
      </c>
      <c r="AT46" s="13">
        <f>IF(-Аренда!AT9+AT36&gt;0,-Аренда!AT9+AT36,0)</f>
        <v>0</v>
      </c>
      <c r="AU46" s="13">
        <f>IF(-Аренда!AU9+AU36&gt;0,-Аренда!AU9+AU36,0)</f>
        <v>0</v>
      </c>
      <c r="AV46" s="13">
        <f>IF(-Аренда!AV9+AV36&gt;0,-Аренда!AV9+AV36,0)</f>
        <v>0</v>
      </c>
      <c r="AW46" s="13">
        <f>IF(-Аренда!AW9+AW36&gt;0,-Аренда!AW9+AW36,0)</f>
        <v>0</v>
      </c>
      <c r="AX46" s="13">
        <f>IF(-Аренда!AX9+AX36&gt;0,-Аренда!AX9+AX36,0)</f>
        <v>0</v>
      </c>
      <c r="AY46" s="13">
        <f>IF(-Аренда!AY9+AY36&gt;0,-Аренда!AY9+AY36,0)</f>
        <v>0</v>
      </c>
      <c r="AZ46" s="13">
        <f>IF(-Аренда!AZ9+AZ36&gt;0,-Аренда!AZ9+AZ36,0)</f>
        <v>0</v>
      </c>
      <c r="BA46" s="13">
        <f>IF(-Аренда!BA9+BA36&gt;0,-Аренда!BA9+BA36,0)</f>
        <v>0</v>
      </c>
      <c r="BB46" s="13">
        <f>IF(-Аренда!BB9+BB36&gt;0,-Аренда!BB9+BB36,0)</f>
        <v>0</v>
      </c>
    </row>
    <row r="47" spans="2:54" x14ac:dyDescent="0.2">
      <c r="B47" s="2" t="s">
        <v>124</v>
      </c>
      <c r="E47" s="13">
        <f>D48*Вводные!$D$58</f>
        <v>0</v>
      </c>
      <c r="F47" s="13">
        <f>IF(F4&gt;Вводные!$D$7,0,E48*Вводные!$D$58)</f>
        <v>0</v>
      </c>
      <c r="G47" s="13">
        <f>IF(G4&gt;Вводные!$D$7,0,F48*Вводные!$D$58)</f>
        <v>0</v>
      </c>
      <c r="H47" s="13">
        <f>IF(H4&gt;Вводные!$D$7,0,G48*Вводные!$D$58)</f>
        <v>0</v>
      </c>
      <c r="I47" s="13">
        <f>IF(I4&gt;Вводные!$D$7,0,H48*Вводные!$D$58)</f>
        <v>0</v>
      </c>
      <c r="J47" s="13">
        <f>IF(J4&gt;Вводные!$D$7,0,I48*Вводные!$D$58)</f>
        <v>0</v>
      </c>
      <c r="K47" s="13">
        <f>IF(K4&gt;Вводные!$D$7,0,J48*Вводные!$D$58)</f>
        <v>0</v>
      </c>
      <c r="L47" s="13">
        <f>IF(L4&gt;Вводные!$D$7,0,K48*Вводные!$D$58)</f>
        <v>0</v>
      </c>
      <c r="M47" s="13">
        <f>IF(M4&gt;Вводные!$D$7,0,L48*Вводные!$D$58)</f>
        <v>0</v>
      </c>
      <c r="N47" s="13">
        <f>IF(N4&gt;Вводные!$D$7,0,M48*Вводные!$D$58)</f>
        <v>0</v>
      </c>
      <c r="O47" s="13">
        <f>IF(O4&gt;Вводные!$D$7,0,N48*Вводные!$D$58)</f>
        <v>0</v>
      </c>
      <c r="P47" s="13">
        <f>IF(P4&gt;Вводные!$D$7,0,O48*Вводные!$D$58)</f>
        <v>0</v>
      </c>
      <c r="Q47" s="13">
        <f>IF(Q4&gt;Вводные!$D$7,0,P48*Вводные!$D$58)</f>
        <v>0</v>
      </c>
      <c r="R47" s="13">
        <f>IF(R4&gt;Вводные!$D$7,0,Q48*Вводные!$D$58)</f>
        <v>0</v>
      </c>
      <c r="S47" s="13">
        <f>IF(S4&gt;Вводные!$D$7,0,R48*Вводные!$D$58)</f>
        <v>0</v>
      </c>
      <c r="T47" s="13">
        <f>IF(T4&gt;Вводные!$D$7,0,S48*Вводные!$D$58)</f>
        <v>0</v>
      </c>
      <c r="U47" s="13">
        <f>IF(U4&gt;Вводные!$D$7,0,T48*Вводные!$D$58)</f>
        <v>0</v>
      </c>
      <c r="V47" s="13">
        <f>IF(V4&gt;Вводные!$D$7,0,U48*Вводные!$D$58)</f>
        <v>0</v>
      </c>
      <c r="W47" s="13">
        <f>IF(W4&gt;Вводные!$D$7,0,V48*Вводные!$D$58)</f>
        <v>0</v>
      </c>
      <c r="X47" s="13">
        <f>IF(X4&gt;Вводные!$D$7,0,W48*Вводные!$D$58)</f>
        <v>0</v>
      </c>
      <c r="Y47" s="13">
        <f>IF(Y4&gt;Вводные!$D$7,0,X48*Вводные!$D$58)</f>
        <v>0</v>
      </c>
      <c r="Z47" s="13">
        <f>IF(Z4&gt;Вводные!$D$7,0,Y48*Вводные!$D$58)</f>
        <v>0</v>
      </c>
      <c r="AA47" s="13">
        <f>IF(AA4&gt;Вводные!$D$7,0,Z48*Вводные!$D$58)</f>
        <v>0</v>
      </c>
      <c r="AB47" s="13">
        <f>IF(AB4&gt;Вводные!$D$7,0,AA48*Вводные!$D$58)</f>
        <v>0</v>
      </c>
      <c r="AC47" s="13">
        <f>IF(AC4&gt;Вводные!$D$7,0,AB48*Вводные!$D$58)</f>
        <v>0</v>
      </c>
      <c r="AD47" s="13">
        <f>IF(AD4&gt;Вводные!$D$7,0,AC48*Вводные!$D$58)</f>
        <v>0</v>
      </c>
      <c r="AE47" s="13">
        <f>IF(AE4&gt;Вводные!$D$7,0,AD48*Вводные!$D$58)</f>
        <v>0</v>
      </c>
      <c r="AF47" s="13">
        <f>IF(AF4&gt;Вводные!$D$7,0,AE48*Вводные!$D$58)</f>
        <v>0</v>
      </c>
      <c r="AG47" s="13">
        <f>IF(AG4&gt;Вводные!$D$7,0,AF48*Вводные!$D$58)</f>
        <v>0</v>
      </c>
      <c r="AH47" s="13">
        <f>IF(AH4&gt;Вводные!$D$7,0,AG48*Вводные!$D$58)</f>
        <v>0</v>
      </c>
      <c r="AI47" s="13">
        <f>IF(AI4&gt;Вводные!$D$7,0,AH48*Вводные!$D$58)</f>
        <v>0</v>
      </c>
      <c r="AJ47" s="13">
        <f>IF(AJ4&gt;Вводные!$D$7,0,AI48*Вводные!$D$58)</f>
        <v>0</v>
      </c>
      <c r="AK47" s="13">
        <f>IF(AK4&gt;Вводные!$D$7,0,AJ48*Вводные!$D$58)</f>
        <v>0</v>
      </c>
      <c r="AL47" s="13">
        <f>IF(AL4&gt;Вводные!$D$7,0,AK48*Вводные!$D$58)</f>
        <v>0</v>
      </c>
      <c r="AM47" s="13">
        <f>IF(AM4&gt;Вводные!$D$7,0,AL48*Вводные!$D$58)</f>
        <v>0</v>
      </c>
      <c r="AN47" s="13">
        <f>IF(AN4&gt;Вводные!$D$7,0,AM48*Вводные!$D$58)</f>
        <v>0</v>
      </c>
      <c r="AO47" s="13">
        <f>IF(AO4&gt;Вводные!$D$7,0,AN48*Вводные!$D$58)</f>
        <v>0</v>
      </c>
      <c r="AP47" s="13">
        <f>IF(AP4&gt;Вводные!$D$7,0,AO48*Вводные!$D$58)</f>
        <v>0</v>
      </c>
      <c r="AQ47" s="13">
        <f>IF(AQ4&gt;Вводные!$D$7,0,AP48*Вводные!$D$58)</f>
        <v>0</v>
      </c>
      <c r="AR47" s="13">
        <f>IF(AR4&gt;Вводные!$D$7,0,AQ48*Вводные!$D$58)</f>
        <v>0</v>
      </c>
      <c r="AS47" s="13">
        <f>IF(AS4&gt;Вводные!$D$7,0,AR48*Вводные!$D$58)</f>
        <v>0</v>
      </c>
      <c r="AT47" s="13">
        <f>IF(AT4&gt;Вводные!$D$7,0,AS48*Вводные!$D$58)</f>
        <v>0</v>
      </c>
      <c r="AU47" s="13">
        <f>IF(AU4&gt;Вводные!$D$7,0,AT48*Вводные!$D$58)</f>
        <v>0</v>
      </c>
      <c r="AV47" s="13">
        <f>IF(AV4&gt;Вводные!$D$7,0,AU48*Вводные!$D$58)</f>
        <v>0</v>
      </c>
      <c r="AW47" s="13">
        <f>IF(AW4&gt;Вводные!$D$7,0,AV48*Вводные!$D$58)</f>
        <v>0</v>
      </c>
      <c r="AX47" s="13">
        <f>IF(AX4&gt;Вводные!$D$7,0,AW48*Вводные!$D$58)</f>
        <v>0</v>
      </c>
      <c r="AY47" s="13">
        <f>IF(AY4&gt;Вводные!$D$7,0,AX48*Вводные!$D$58)</f>
        <v>0</v>
      </c>
      <c r="AZ47" s="13">
        <f>IF(AZ4&gt;Вводные!$D$7,0,AY48*Вводные!$D$58)</f>
        <v>0</v>
      </c>
      <c r="BA47" s="13">
        <f>IF(BA4&gt;Вводные!$D$7,0,AZ48*Вводные!$D$58)</f>
        <v>0</v>
      </c>
      <c r="BB47" s="13">
        <f>IF(BB4&gt;Вводные!$D$7,0,BA48*Вводные!$D$58)</f>
        <v>0</v>
      </c>
    </row>
    <row r="48" spans="2:54" x14ac:dyDescent="0.2">
      <c r="B48" s="2" t="s">
        <v>155</v>
      </c>
      <c r="E48" s="13">
        <f>IF(E4&gt;Вводные!$D$7,0,E46)</f>
        <v>0</v>
      </c>
      <c r="F48" s="13">
        <f>IF(F4&gt;Вводные!$D$7,0,E48+F47+F46)</f>
        <v>0</v>
      </c>
      <c r="G48" s="13">
        <f>IF(G4&gt;Вводные!$D$7,0,F48+G47+G46)</f>
        <v>0</v>
      </c>
      <c r="H48" s="13">
        <f>IF(H4&gt;Вводные!$D$7,0,G48+H47+H46)</f>
        <v>0</v>
      </c>
      <c r="I48" s="13">
        <f>IF(I4&gt;Вводные!$D$7,0,H48+I47+I46)</f>
        <v>0</v>
      </c>
      <c r="J48" s="13">
        <f>IF(J4&gt;Вводные!$D$7,0,I48+J47+J46)</f>
        <v>0</v>
      </c>
      <c r="K48" s="13">
        <f>IF(K4&gt;Вводные!$D$7,0,J48+K47+K46)</f>
        <v>0</v>
      </c>
      <c r="L48" s="13">
        <f>IF(L4&gt;Вводные!$D$7,0,K48+L47+L46)</f>
        <v>0</v>
      </c>
      <c r="M48" s="13">
        <f>IF(M4&gt;Вводные!$D$7,0,L48+M47+M46)</f>
        <v>0</v>
      </c>
      <c r="N48" s="13">
        <f>IF(N4&gt;Вводные!$D$7,0,M48+N47+N46)</f>
        <v>0</v>
      </c>
      <c r="O48" s="13">
        <f>IF(O4&gt;Вводные!$D$7,0,N48+O47+O46)</f>
        <v>0</v>
      </c>
      <c r="P48" s="13">
        <f>IF(P4&gt;Вводные!$D$7,0,O48+P47+P46)</f>
        <v>0</v>
      </c>
      <c r="Q48" s="13">
        <f>IF(Q4&gt;Вводные!$D$7,0,P48+Q47+Q46)</f>
        <v>0</v>
      </c>
      <c r="R48" s="13">
        <f>IF(R4&gt;Вводные!$D$7,0,Q48+R47+R46)</f>
        <v>0</v>
      </c>
      <c r="S48" s="13">
        <f>IF(S4&gt;Вводные!$D$7,0,R48+S47+S46)</f>
        <v>15763.988988318481</v>
      </c>
      <c r="T48" s="13">
        <f>IF(T4&gt;Вводные!$D$7,0,S48+T47+T46)</f>
        <v>0</v>
      </c>
      <c r="U48" s="13">
        <f>IF(U4&gt;Вводные!$D$7,0,T48+U47+U46)</f>
        <v>0</v>
      </c>
      <c r="V48" s="13">
        <f>IF(V4&gt;Вводные!$D$7,0,U48+V47+V46)</f>
        <v>0</v>
      </c>
      <c r="W48" s="13">
        <f>IF(W4&gt;Вводные!$D$7,0,V48+W47+W46)</f>
        <v>0</v>
      </c>
      <c r="X48" s="13">
        <f>IF(X4&gt;Вводные!$D$7,0,W48+X47+X46)</f>
        <v>0</v>
      </c>
      <c r="Y48" s="13">
        <f>IF(Y4&gt;Вводные!$D$7,0,X48+Y47+Y46)</f>
        <v>0</v>
      </c>
      <c r="Z48" s="13">
        <f>IF(Z4&gt;Вводные!$D$7,0,Y48+Z47+Z46)</f>
        <v>0</v>
      </c>
      <c r="AA48" s="13">
        <f>IF(AA4&gt;Вводные!$D$7,0,Z48+AA47+AA46)</f>
        <v>0</v>
      </c>
      <c r="AB48" s="13">
        <f>IF(AB4&gt;Вводные!$D$7,0,AA48+AB47+AB46)</f>
        <v>0</v>
      </c>
      <c r="AC48" s="13">
        <f>IF(AC4&gt;Вводные!$D$7,0,AB48+AC47+AC46)</f>
        <v>0</v>
      </c>
      <c r="AD48" s="13">
        <f>IF(AD4&gt;Вводные!$D$7,0,AC48+AD47+AD46)</f>
        <v>0</v>
      </c>
      <c r="AE48" s="13">
        <f>IF(AE4&gt;Вводные!$D$7,0,AD48+AE47+AE46)</f>
        <v>0</v>
      </c>
      <c r="AF48" s="13">
        <f>IF(AF4&gt;Вводные!$D$7,0,AE48+AF47+AF46)</f>
        <v>0</v>
      </c>
      <c r="AG48" s="13">
        <f>IF(AG4&gt;Вводные!$D$7,0,AF48+AG47+AG46)</f>
        <v>0</v>
      </c>
      <c r="AH48" s="13">
        <f>IF(AH4&gt;Вводные!$D$7,0,AG48+AH47+AH46)</f>
        <v>0</v>
      </c>
      <c r="AI48" s="13">
        <f>IF(AI4&gt;Вводные!$D$7,0,AH48+AI47+AI46)</f>
        <v>0</v>
      </c>
      <c r="AJ48" s="13">
        <f>IF(AJ4&gt;Вводные!$D$7,0,AI48+AJ47+AJ46)</f>
        <v>0</v>
      </c>
      <c r="AK48" s="13">
        <f>IF(AK4&gt;Вводные!$D$7,0,AJ48+AK47+AK46)</f>
        <v>0</v>
      </c>
      <c r="AL48" s="13">
        <f>IF(AL4&gt;Вводные!$D$7,0,AK48+AL47+AL46)</f>
        <v>0</v>
      </c>
      <c r="AM48" s="13">
        <f>IF(AM4&gt;Вводные!$D$7,0,AL48+AM47+AM46)</f>
        <v>0</v>
      </c>
      <c r="AN48" s="13">
        <f>IF(AN4&gt;Вводные!$D$7,0,AM48+AN47+AN46)</f>
        <v>0</v>
      </c>
      <c r="AO48" s="13">
        <f>IF(AO4&gt;Вводные!$D$7,0,AN48+AO47+AO46)</f>
        <v>0</v>
      </c>
      <c r="AP48" s="13">
        <f>IF(AP4&gt;Вводные!$D$7,0,AO48+AP47+AP46)</f>
        <v>0</v>
      </c>
      <c r="AQ48" s="13">
        <f>IF(AQ4&gt;Вводные!$D$7,0,AP48+AQ47+AQ46)</f>
        <v>0</v>
      </c>
      <c r="AR48" s="13">
        <f>IF(AR4&gt;Вводные!$D$7,0,AQ48+AR47+AR46)</f>
        <v>0</v>
      </c>
      <c r="AS48" s="13">
        <f>IF(AS4&gt;Вводные!$D$7,0,AR48+AS47+AS46)</f>
        <v>0</v>
      </c>
      <c r="AT48" s="13">
        <f>IF(AT4&gt;Вводные!$D$7,0,AS48+AT47+AT46)</f>
        <v>0</v>
      </c>
      <c r="AU48" s="13">
        <f>IF(AU4&gt;Вводные!$D$7,0,AT48+AU47+AU46)</f>
        <v>0</v>
      </c>
      <c r="AV48" s="13">
        <f>IF(AV4&gt;Вводные!$D$7,0,AU48+AV47+AV46)</f>
        <v>0</v>
      </c>
      <c r="AW48" s="13">
        <f>IF(AW4&gt;Вводные!$D$7,0,AV48+AW47+AW46)</f>
        <v>0</v>
      </c>
      <c r="AX48" s="13">
        <f>IF(AX4&gt;Вводные!$D$7,0,AW48+AX47+AX46)</f>
        <v>0</v>
      </c>
      <c r="AY48" s="13">
        <f>IF(AY4&gt;Вводные!$D$7,0,AX48+AY47+AY46)</f>
        <v>0</v>
      </c>
      <c r="AZ48" s="13">
        <f>IF(AZ4&gt;Вводные!$D$7,0,AY48+AZ47+AZ46)</f>
        <v>0</v>
      </c>
      <c r="BA48" s="13">
        <f>IF(BA4&gt;Вводные!$D$7,0,AZ48+BA47+BA46)</f>
        <v>0</v>
      </c>
      <c r="BB48" s="13">
        <f>IF(BB4&gt;Вводные!$D$7,0,BA48+BB47+BB46)</f>
        <v>0</v>
      </c>
    </row>
    <row r="49" spans="2:54" s="96" customFormat="1" x14ac:dyDescent="0.2">
      <c r="B49" s="62" t="s">
        <v>125</v>
      </c>
      <c r="C49" s="62"/>
      <c r="D49" s="107">
        <f>D45</f>
        <v>2700000</v>
      </c>
      <c r="E49" s="107">
        <f>E45+E48</f>
        <v>3750704.2435434991</v>
      </c>
      <c r="F49" s="107">
        <f>F45+F48</f>
        <v>4902515.8331289813</v>
      </c>
      <c r="G49" s="107">
        <f>G45+G48</f>
        <v>6165364.3683473179</v>
      </c>
      <c r="H49" s="107">
        <f t="shared" ref="H49:BB49" si="60">H45+H48</f>
        <v>7550178.3697211137</v>
      </c>
      <c r="I49" s="107">
        <f t="shared" si="60"/>
        <v>9068988.5308067799</v>
      </c>
      <c r="J49" s="107">
        <f t="shared" si="60"/>
        <v>10735041.956000784</v>
      </c>
      <c r="K49" s="107">
        <f t="shared" si="60"/>
        <v>12562928.587480154</v>
      </c>
      <c r="L49" s="107">
        <f t="shared" si="60"/>
        <v>14568721.1602474</v>
      </c>
      <c r="M49" s="107">
        <f t="shared" si="60"/>
        <v>16770130.175442571</v>
      </c>
      <c r="N49" s="107">
        <f t="shared" si="60"/>
        <v>19186675.550776225</v>
      </c>
      <c r="O49" s="107">
        <f t="shared" si="60"/>
        <v>21839876.795196235</v>
      </c>
      <c r="P49" s="107">
        <f t="shared" si="60"/>
        <v>24753463.76504438</v>
      </c>
      <c r="Q49" s="107">
        <f t="shared" si="60"/>
        <v>27953610.293583274</v>
      </c>
      <c r="R49" s="107">
        <f t="shared" si="60"/>
        <v>31469193.247788765</v>
      </c>
      <c r="S49" s="107">
        <f t="shared" si="60"/>
        <v>35347843.847957276</v>
      </c>
      <c r="T49" s="107">
        <f t="shared" si="60"/>
        <v>0</v>
      </c>
      <c r="U49" s="107">
        <f t="shared" si="60"/>
        <v>0</v>
      </c>
      <c r="V49" s="107">
        <f t="shared" si="60"/>
        <v>0</v>
      </c>
      <c r="W49" s="107">
        <f t="shared" si="60"/>
        <v>0</v>
      </c>
      <c r="X49" s="107">
        <f>X45+X48</f>
        <v>0</v>
      </c>
      <c r="Y49" s="107">
        <f>Y45+Y48</f>
        <v>0</v>
      </c>
      <c r="Z49" s="107">
        <f t="shared" si="60"/>
        <v>0</v>
      </c>
      <c r="AA49" s="107">
        <f t="shared" si="60"/>
        <v>0</v>
      </c>
      <c r="AB49" s="107">
        <f t="shared" si="60"/>
        <v>0</v>
      </c>
      <c r="AC49" s="107">
        <f t="shared" si="60"/>
        <v>0</v>
      </c>
      <c r="AD49" s="107">
        <f t="shared" si="60"/>
        <v>0</v>
      </c>
      <c r="AE49" s="107">
        <f t="shared" si="60"/>
        <v>0</v>
      </c>
      <c r="AF49" s="107">
        <f t="shared" si="60"/>
        <v>0</v>
      </c>
      <c r="AG49" s="107">
        <f t="shared" si="60"/>
        <v>0</v>
      </c>
      <c r="AH49" s="107">
        <f t="shared" si="60"/>
        <v>0</v>
      </c>
      <c r="AI49" s="107">
        <f t="shared" si="60"/>
        <v>0</v>
      </c>
      <c r="AJ49" s="107">
        <f t="shared" si="60"/>
        <v>0</v>
      </c>
      <c r="AK49" s="107">
        <f t="shared" si="60"/>
        <v>0</v>
      </c>
      <c r="AL49" s="107">
        <f t="shared" si="60"/>
        <v>0</v>
      </c>
      <c r="AM49" s="107">
        <f t="shared" si="60"/>
        <v>0</v>
      </c>
      <c r="AN49" s="107">
        <f t="shared" si="60"/>
        <v>0</v>
      </c>
      <c r="AO49" s="107">
        <f t="shared" si="60"/>
        <v>0</v>
      </c>
      <c r="AP49" s="107">
        <f t="shared" si="60"/>
        <v>0</v>
      </c>
      <c r="AQ49" s="107">
        <f t="shared" si="60"/>
        <v>0</v>
      </c>
      <c r="AR49" s="107">
        <f t="shared" si="60"/>
        <v>0</v>
      </c>
      <c r="AS49" s="107">
        <f t="shared" si="60"/>
        <v>0</v>
      </c>
      <c r="AT49" s="107">
        <f t="shared" si="60"/>
        <v>0</v>
      </c>
      <c r="AU49" s="107">
        <f t="shared" si="60"/>
        <v>0</v>
      </c>
      <c r="AV49" s="107">
        <f t="shared" si="60"/>
        <v>0</v>
      </c>
      <c r="AW49" s="107">
        <f t="shared" si="60"/>
        <v>0</v>
      </c>
      <c r="AX49" s="107">
        <f t="shared" si="60"/>
        <v>0</v>
      </c>
      <c r="AY49" s="107">
        <f t="shared" si="60"/>
        <v>0</v>
      </c>
      <c r="AZ49" s="107">
        <f t="shared" si="60"/>
        <v>0</v>
      </c>
      <c r="BA49" s="107">
        <f t="shared" si="60"/>
        <v>0</v>
      </c>
      <c r="BB49" s="107">
        <f t="shared" si="60"/>
        <v>0</v>
      </c>
    </row>
    <row r="50" spans="2:54" s="99" customFormat="1" x14ac:dyDescent="0.2">
      <c r="B50" s="99" t="s">
        <v>126</v>
      </c>
      <c r="D50" s="108"/>
      <c r="E50" s="109">
        <f>IFERROR(IF(E49-D49=-D49,"",E49/D49-1),"")</f>
        <v>0.3891497198309255</v>
      </c>
      <c r="F50" s="109">
        <f>IFERROR(IF(F49-E49=-E49,"",F49/E49-1),"")</f>
        <v>0.3070920858578019</v>
      </c>
      <c r="G50" s="109">
        <f t="shared" ref="G50:BB50" si="61">IFERROR(IF(G49-F49=-F49,"",G49/F49-1),"")</f>
        <v>0.25759193406058545</v>
      </c>
      <c r="H50" s="109">
        <f>IFERROR(IF(H49-G49=-G49,"",H49/G49-1),"")</f>
        <v>0.224611866977946</v>
      </c>
      <c r="I50" s="109">
        <f t="shared" si="61"/>
        <v>0.201162156271252</v>
      </c>
      <c r="J50" s="109">
        <f t="shared" si="61"/>
        <v>0.18370884686142519</v>
      </c>
      <c r="K50" s="109">
        <f t="shared" si="61"/>
        <v>0.17027289124450973</v>
      </c>
      <c r="L50" s="109">
        <f t="shared" si="61"/>
        <v>0.15965963340475886</v>
      </c>
      <c r="M50" s="109">
        <f t="shared" si="61"/>
        <v>0.15110516502999549</v>
      </c>
      <c r="N50" s="109">
        <f t="shared" si="61"/>
        <v>0.14409818827001919</v>
      </c>
      <c r="O50" s="109">
        <f t="shared" si="61"/>
        <v>0.13828353105771218</v>
      </c>
      <c r="P50" s="109">
        <f t="shared" si="61"/>
        <v>0.13340674936815566</v>
      </c>
      <c r="Q50" s="109">
        <f t="shared" si="61"/>
        <v>0.12928075678273299</v>
      </c>
      <c r="R50" s="109">
        <f t="shared" si="61"/>
        <v>0.12576489824688197</v>
      </c>
      <c r="S50" s="109">
        <f>IFERROR(IF(S49-R49=-R49,"",S49/R49-1),"")</f>
        <v>0.12325230486933592</v>
      </c>
      <c r="T50" s="109" t="str">
        <f t="shared" si="61"/>
        <v/>
      </c>
      <c r="U50" s="109" t="str">
        <f t="shared" si="61"/>
        <v/>
      </c>
      <c r="V50" s="109" t="str">
        <f t="shared" si="61"/>
        <v/>
      </c>
      <c r="W50" s="109" t="str">
        <f t="shared" si="61"/>
        <v/>
      </c>
      <c r="X50" s="109" t="str">
        <f t="shared" si="61"/>
        <v/>
      </c>
      <c r="Y50" s="109" t="str">
        <f>IFERROR(IF(Y49-X49=-X49,"",Y49/X49-1),"")</f>
        <v/>
      </c>
      <c r="Z50" s="109" t="str">
        <f t="shared" si="61"/>
        <v/>
      </c>
      <c r="AA50" s="109" t="str">
        <f t="shared" si="61"/>
        <v/>
      </c>
      <c r="AB50" s="109" t="str">
        <f t="shared" si="61"/>
        <v/>
      </c>
      <c r="AC50" s="109" t="str">
        <f t="shared" si="61"/>
        <v/>
      </c>
      <c r="AD50" s="109" t="str">
        <f t="shared" si="61"/>
        <v/>
      </c>
      <c r="AE50" s="109" t="str">
        <f t="shared" si="61"/>
        <v/>
      </c>
      <c r="AF50" s="109" t="str">
        <f t="shared" si="61"/>
        <v/>
      </c>
      <c r="AG50" s="109" t="str">
        <f t="shared" si="61"/>
        <v/>
      </c>
      <c r="AH50" s="109" t="str">
        <f t="shared" si="61"/>
        <v/>
      </c>
      <c r="AI50" s="109" t="str">
        <f t="shared" si="61"/>
        <v/>
      </c>
      <c r="AJ50" s="109" t="str">
        <f t="shared" si="61"/>
        <v/>
      </c>
      <c r="AK50" s="109" t="str">
        <f t="shared" si="61"/>
        <v/>
      </c>
      <c r="AL50" s="109" t="str">
        <f t="shared" si="61"/>
        <v/>
      </c>
      <c r="AM50" s="109" t="str">
        <f t="shared" si="61"/>
        <v/>
      </c>
      <c r="AN50" s="109" t="str">
        <f t="shared" si="61"/>
        <v/>
      </c>
      <c r="AO50" s="109" t="str">
        <f t="shared" si="61"/>
        <v/>
      </c>
      <c r="AP50" s="109" t="str">
        <f t="shared" si="61"/>
        <v/>
      </c>
      <c r="AQ50" s="109" t="str">
        <f t="shared" si="61"/>
        <v/>
      </c>
      <c r="AR50" s="109" t="str">
        <f t="shared" si="61"/>
        <v/>
      </c>
      <c r="AS50" s="109" t="str">
        <f t="shared" si="61"/>
        <v/>
      </c>
      <c r="AT50" s="109" t="str">
        <f t="shared" si="61"/>
        <v/>
      </c>
      <c r="AU50" s="109" t="str">
        <f t="shared" si="61"/>
        <v/>
      </c>
      <c r="AV50" s="109" t="str">
        <f t="shared" si="61"/>
        <v/>
      </c>
      <c r="AW50" s="109" t="str">
        <f t="shared" si="61"/>
        <v/>
      </c>
      <c r="AX50" s="109" t="str">
        <f t="shared" si="61"/>
        <v/>
      </c>
      <c r="AY50" s="109" t="str">
        <f t="shared" si="61"/>
        <v/>
      </c>
      <c r="AZ50" s="109" t="str">
        <f t="shared" si="61"/>
        <v/>
      </c>
      <c r="BA50" s="109" t="str">
        <f t="shared" si="61"/>
        <v/>
      </c>
      <c r="BB50" s="109" t="str">
        <f t="shared" si="61"/>
        <v/>
      </c>
    </row>
    <row r="51" spans="2:54" s="96" customFormat="1" x14ac:dyDescent="0.2">
      <c r="B51" s="105" t="s">
        <v>202</v>
      </c>
      <c r="C51" s="105"/>
      <c r="D51" s="266">
        <f>D24</f>
        <v>-3500000</v>
      </c>
      <c r="E51" s="266">
        <f>IF(E4&lt;Вводные!$D$7,IF(E36&lt;0,E36-E46,-E46),E36-E46+E49)</f>
        <v>-333784.37143713335</v>
      </c>
      <c r="F51" s="266">
        <f>IF(F4&lt;Вводные!$D$7,IF(F36&lt;0,F36-F46,-F46),F36-F46+F49)</f>
        <v>-569138.22642259113</v>
      </c>
      <c r="G51" s="266">
        <f>IF(G4&lt;Вводные!$D$7,IF(G36&lt;0,G36-G46,-G46),G36-G46+G49)</f>
        <v>-542381.82035486191</v>
      </c>
      <c r="H51" s="266">
        <f>IF(H4&lt;Вводные!$D$7,IF(H36&lt;0,H36-H46,-H46),H36-H46+H49)</f>
        <v>-536053.54481290048</v>
      </c>
      <c r="I51" s="266">
        <f>IF(I4&lt;Вводные!$D$7,IF(I36&lt;0,I36-I46,-I46),I36-I46+I49)</f>
        <v>-575632.56685287156</v>
      </c>
      <c r="J51" s="266">
        <f>IF(J4&lt;Вводные!$D$7,IF(J36&lt;0,J36-J46,-J46),J36-J46+J49)</f>
        <v>-536706.79237551161</v>
      </c>
      <c r="K51" s="266">
        <f>IF(K4&lt;Вводные!$D$7,IF(K36&lt;0,K36-K46,-K46),K36-K46+K49)</f>
        <v>-494277.69819518889</v>
      </c>
      <c r="L51" s="266">
        <f>IF(L4&lt;Вводные!$D$7,IF(L36&lt;0,L36-L46,-L46),L36-L46+L49)</f>
        <v>-448029.98553863738</v>
      </c>
      <c r="M51" s="266">
        <f>IF(M4&lt;Вводные!$D$7,IF(M36&lt;0,M36-M46,-M46),M36-M46+M49)</f>
        <v>-397619.97874299623</v>
      </c>
      <c r="N51" s="266">
        <f>IF(N4&lt;Вводные!$D$7,IF(N36&lt;0,N36-N46,-N46),N36-N46+N49)</f>
        <v>-342673.07133574761</v>
      </c>
      <c r="O51" s="266">
        <f>IF(O4&lt;Вводные!$D$7,IF(O36&lt;0,O36-O46,-O46),O36-O46+O49)</f>
        <v>-282780.94226184674</v>
      </c>
      <c r="P51" s="266">
        <f>IF(P4&lt;Вводные!$D$7,IF(P36&lt;0,P36-P46,-P46),P36-P46+P49)</f>
        <v>-217498.52157129406</v>
      </c>
      <c r="Q51" s="266">
        <f>IF(Q4&lt;Вводные!$D$7,IF(Q36&lt;0,Q36-Q46,-Q46),Q36-Q46+Q49)</f>
        <v>-146340.6830185923</v>
      </c>
      <c r="R51" s="266">
        <f>IF(R4&lt;Вводные!$D$7,IF(R36&lt;0,R36-R46,-R46),R36-R46+R49)</f>
        <v>-68778.638996146852</v>
      </c>
      <c r="S51" s="266">
        <f>IF(S4&lt;Вводные!$D$7,IF(S36&lt;0,S36-S46,-S46),S36-S46+S49)</f>
        <v>35347843.847957276</v>
      </c>
      <c r="T51" s="266">
        <f>IF(T4&lt;Вводные!$D$7,IF(T36&lt;0,T36-T46,-T46),T36-T46+T49)</f>
        <v>0</v>
      </c>
      <c r="U51" s="266">
        <f>IF(U4&lt;Вводные!$D$7,IF(U36&lt;0,U36-U46,-U46),U36-U46+U49)</f>
        <v>0</v>
      </c>
      <c r="V51" s="266">
        <f>IF(V4&lt;Вводные!$D$7,IF(V36&lt;0,V36-V46,-V46),V36-V46+V49)</f>
        <v>0</v>
      </c>
      <c r="W51" s="266">
        <f>IF(W4&lt;Вводные!$D$7,IF(W36&lt;0,W36-W46,-W46),W36-W46+W49)</f>
        <v>0</v>
      </c>
      <c r="X51" s="266">
        <f>IF(X4&lt;Вводные!$D$7,IF(X36&lt;0,X36-X46,-X46),X36-X46+X49)</f>
        <v>0</v>
      </c>
      <c r="Y51" s="266">
        <f>IF(Y4&lt;Вводные!$D$7,IF(Y36&lt;0,Y36-Y46,-Y46),Y36-Y46+Y49)</f>
        <v>0</v>
      </c>
      <c r="Z51" s="266">
        <f>IF(Z4&lt;Вводные!$D$7,IF(Z36&lt;0,Z36-Z46,-Z46),Z36-Z46+Z49)</f>
        <v>0</v>
      </c>
      <c r="AA51" s="266">
        <f>IF(AA4&lt;Вводные!$D$7,IF(AA36&lt;0,AA36-AA46,-AA46),AA36-AA46+AA49)</f>
        <v>0</v>
      </c>
      <c r="AB51" s="266">
        <f>IF(AB4&lt;Вводные!$D$7,IF(AB36&lt;0,AB36-AB46,-AB46),AB36-AB46+AB49)</f>
        <v>0</v>
      </c>
      <c r="AC51" s="266">
        <f>IF(AC4&lt;Вводные!$D$7,IF(AC36&lt;0,AC36-AC46,-AC46),AC36-AC46+AC49)</f>
        <v>0</v>
      </c>
      <c r="AD51" s="266">
        <f>IF(AD4&lt;Вводные!$D$7,IF(AD36&lt;0,AD36-AD46,-AD46),AD36-AD46+AD49)</f>
        <v>0</v>
      </c>
      <c r="AE51" s="266">
        <f>IF(AE4&lt;Вводные!$D$7,IF(AE36&lt;0,AE36-AE46,-AE46),AE36-AE46+AE49)</f>
        <v>0</v>
      </c>
      <c r="AF51" s="266">
        <f>IF(AF4&lt;Вводные!$D$7,IF(AF36&lt;0,AF36-AF46,-AF46),AF36-AF46+AF49)</f>
        <v>0</v>
      </c>
      <c r="AG51" s="266">
        <f>IF(AG4&lt;Вводные!$D$7,IF(AG36&lt;0,AG36-AG46,-AG46),AG36-AG46+AG49)</f>
        <v>0</v>
      </c>
      <c r="AH51" s="266">
        <f>IF(AH4&lt;Вводные!$D$7,IF(AH36&lt;0,AH36-AH46,-AH46),AH36-AH46+AH49)</f>
        <v>0</v>
      </c>
      <c r="AI51" s="266">
        <f>IF(AI4&lt;Вводные!$D$7,IF(AI36&lt;0,AI36-AI46,-AI46),AI36-AI46+AI49)</f>
        <v>0</v>
      </c>
      <c r="AJ51" s="266">
        <f>IF(AJ4&lt;Вводные!$D$7,IF(AJ36&lt;0,AJ36-AJ46,-AJ46),AJ36-AJ46+AJ49)</f>
        <v>0</v>
      </c>
      <c r="AK51" s="266">
        <f>IF(AK4&lt;Вводные!$D$7,IF(AK36&lt;0,AK36-AK46,-AK46),AK36-AK46+AK49)</f>
        <v>0</v>
      </c>
      <c r="AL51" s="266">
        <f>IF(AL4&lt;Вводные!$D$7,IF(AL36&lt;0,AL36-AL46,-AL46),AL36-AL46+AL49)</f>
        <v>0</v>
      </c>
      <c r="AM51" s="266">
        <f>IF(AM4&lt;Вводные!$D$7,IF(AM36&lt;0,AM36-AM46,-AM46),AM36-AM46+AM49)</f>
        <v>0</v>
      </c>
      <c r="AN51" s="266">
        <f>IF(AN4&lt;Вводные!$D$7,IF(AN36&lt;0,AN36-AN46,-AN46),AN36-AN46+AN49)</f>
        <v>0</v>
      </c>
      <c r="AO51" s="266">
        <f>IF(AO4&lt;Вводные!$D$7,IF(AO36&lt;0,AO36-AO46,-AO46),AO36-AO46+AO49)</f>
        <v>0</v>
      </c>
      <c r="AP51" s="266">
        <f>IF(AP4&lt;Вводные!$D$7,IF(AP36&lt;0,AP36-AP46,-AP46),AP36-AP46+AP49)</f>
        <v>0</v>
      </c>
      <c r="AQ51" s="266">
        <f>IF(AQ4&lt;Вводные!$D$7,IF(AQ36&lt;0,AQ36-AQ46,-AQ46),AQ36-AQ46+AQ49)</f>
        <v>0</v>
      </c>
      <c r="AR51" s="266">
        <f>IF(AR4&lt;Вводные!$D$7,IF(AR36&lt;0,AR36-AR46,-AR46),AR36-AR46+AR49)</f>
        <v>0</v>
      </c>
      <c r="AS51" s="266">
        <f>IF(AS4&lt;Вводные!$D$7,IF(AS36&lt;0,AS36-AS46,-AS46),AS36-AS46+AS49)</f>
        <v>0</v>
      </c>
      <c r="AT51" s="266">
        <f>IF(AT4&lt;Вводные!$D$7,IF(AT36&lt;0,AT36-AT46,-AT46),AT36-AT46+AT49)</f>
        <v>0</v>
      </c>
      <c r="AU51" s="266">
        <f>IF(AU4&lt;Вводные!$D$7,IF(AU36&lt;0,AU36-AU46,-AU46),AU36-AU46+AU49)</f>
        <v>0</v>
      </c>
      <c r="AV51" s="266">
        <f>IF(AV4&lt;Вводные!$D$7,IF(AV36&lt;0,AV36-AV46,-AV46),AV36-AV46+AV49)</f>
        <v>0</v>
      </c>
      <c r="AW51" s="266">
        <f>IF(AW4&lt;Вводные!$D$7,IF(AW36&lt;0,AW36-AW46,-AW46),AW36-AW46+AW49)</f>
        <v>0</v>
      </c>
      <c r="AX51" s="266">
        <f>IF(AX4&lt;Вводные!$D$7,IF(AX36&lt;0,AX36-AX46,-AX46),AX36-AX46+AX49)</f>
        <v>0</v>
      </c>
      <c r="AY51" s="266">
        <f>IF(AY4&lt;Вводные!$D$7,IF(AY36&lt;0,AY36-AY46,-AY46),AY36-AY46+AY49)</f>
        <v>0</v>
      </c>
      <c r="AZ51" s="266">
        <f>IF(AZ4&lt;Вводные!$D$7,IF(AZ36&lt;0,AZ36-AZ46,-AZ46),AZ36-AZ46+AZ49)</f>
        <v>0</v>
      </c>
      <c r="BA51" s="266">
        <f>IF(BA4&lt;Вводные!$D$7,IF(BA36&lt;0,BA36-BA46,-BA46),BA36-BA46+BA49)</f>
        <v>0</v>
      </c>
      <c r="BB51" s="266">
        <f>IF(BB4&lt;Вводные!$D$7,IF(BB36&lt;0,BB36-BB46,-BB46),BB36-BB46+BB49)</f>
        <v>0</v>
      </c>
    </row>
    <row r="52" spans="2:54" x14ac:dyDescent="0.2">
      <c r="B52" s="2" t="s">
        <v>203</v>
      </c>
      <c r="D52" s="111">
        <f>IRR(D51:BB51)</f>
        <v>0.12051840231128264</v>
      </c>
      <c r="G52" s="61"/>
    </row>
    <row r="53" spans="2:54" x14ac:dyDescent="0.2">
      <c r="B53" s="2" t="s">
        <v>204</v>
      </c>
      <c r="D53" s="61">
        <f>SUM(D51:BB51)</f>
        <v>26356147.006040953</v>
      </c>
      <c r="G53" s="61"/>
    </row>
    <row r="55" spans="2:54" x14ac:dyDescent="0.2">
      <c r="B55" s="2" t="s">
        <v>156</v>
      </c>
      <c r="E55" s="13">
        <f>IF(E7=0,0,IF(E4&gt;Вводные!$D$7,0,E6))</f>
        <v>-830436.92861337215</v>
      </c>
      <c r="F55" s="13">
        <f>IF(F7=0,0,IF(F4&gt;Вводные!$D$7,0,E55+F6))</f>
        <v>-1638336.5111847613</v>
      </c>
      <c r="G55" s="13">
        <f>IF(G7=0,0,IF(G4&gt;Вводные!$D$7,0,F55+G6))</f>
        <v>-2420840.4481232981</v>
      </c>
      <c r="H55" s="13">
        <f>IF(H7=0,0,IF(H4&gt;Вводные!$D$7,0,G55+H6))</f>
        <v>-3174727.9359063753</v>
      </c>
      <c r="I55" s="13">
        <f>IF(I7=0,0,IF(I4&gt;Вводные!$D$7,0,H55+I6))</f>
        <v>-3896369.6925075823</v>
      </c>
      <c r="J55" s="13">
        <f>IF(J7=0,0,IF(J4&gt;Вводные!$D$7,0,I55+J6))</f>
        <v>-4581676.15209815</v>
      </c>
      <c r="K55" s="13">
        <f>IF(K7=0,0,IF(K4&gt;Вводные!$D$7,0,J55+K6))</f>
        <v>-5226039.0895398511</v>
      </c>
      <c r="L55" s="13">
        <f>IF(L7=0,0,IF(L4&gt;Вводные!$D$7,0,K55+L6))</f>
        <v>-5824265.8414024459</v>
      </c>
      <c r="M55" s="13">
        <f>IF(M7=0,0,IF(M4&gt;Вводные!$D$7,0,L55+M6))</f>
        <v>-6370505.1845596898</v>
      </c>
      <c r="N55" s="13">
        <f>IF(N7=0,0,IF(N4&gt;Вводные!$D$7,0,M55+N6))</f>
        <v>-6858163.8143360447</v>
      </c>
      <c r="O55" s="13">
        <f>IF(O7=0,0,IF(O4&gt;Вводные!$D$7,0,N55+O6))</f>
        <v>-7279812.2299918262</v>
      </c>
      <c r="P55" s="13">
        <f>IF(P7=0,0,IF(P4&gt;Вводные!$D$7,0,O55+P6))</f>
        <v>-7627078.6841321755</v>
      </c>
      <c r="Q55" s="13">
        <f>IF(Q7=0,0,IF(Q4&gt;Вводные!$D$7,0,P55+Q6))</f>
        <v>-7890529.6822466217</v>
      </c>
      <c r="R55" s="13">
        <f>IF(R7=0,0,IF(R4&gt;Вводные!$D$7,0,Q55+R6))</f>
        <v>-8059535.3265991565</v>
      </c>
      <c r="S55" s="13">
        <f>IF(S7=0,0,IF(S4&gt;Вводные!$D$7,0,R55+S6))</f>
        <v>-8122117.5823530992</v>
      </c>
      <c r="T55" s="13">
        <f>IF(T7=0,0,IF(T4&gt;Вводные!$D$7,0,S55+T6))</f>
        <v>0</v>
      </c>
      <c r="U55" s="13">
        <f>IF(U7=0,0,IF(U4&gt;Вводные!$D$7,0,T55+U6))</f>
        <v>0</v>
      </c>
      <c r="V55" s="13">
        <f>IF(V7=0,0,IF(V4&gt;Вводные!$D$7,0,U55+V6))</f>
        <v>0</v>
      </c>
      <c r="W55" s="13">
        <f>IF(W7=0,0,IF(W4&gt;Вводные!$D$7,0,V55+W6))</f>
        <v>0</v>
      </c>
      <c r="X55" s="13">
        <f>IF(X7=0,0,IF(X4&gt;Вводные!$D$7,0,W55+X6))</f>
        <v>0</v>
      </c>
      <c r="Y55" s="13">
        <f>IF(Y7=0,0,IF(Y4&gt;Вводные!$D$7,0,X55+Y6))</f>
        <v>0</v>
      </c>
      <c r="Z55" s="13">
        <f>IF(Z7=0,0,IF(Z4&gt;Вводные!$D$7,0,Y55+Z6))</f>
        <v>0</v>
      </c>
      <c r="AA55" s="13">
        <f>IF(AA7=0,0,IF(AA4&gt;Вводные!$D$7,0,Z55+AA6))</f>
        <v>0</v>
      </c>
      <c r="AB55" s="13">
        <f>IF(AB7=0,0,IF(AB4&gt;Вводные!$D$7,0,AA55+AB6))</f>
        <v>0</v>
      </c>
      <c r="AC55" s="13">
        <f>IF(AC7=0,0,IF(AC4&gt;Вводные!$D$7,0,AB55+AC6))</f>
        <v>0</v>
      </c>
      <c r="AD55" s="13">
        <f>IF(AD7=0,0,IF(AD4&gt;Вводные!$D$7,0,AC55+AD6))</f>
        <v>0</v>
      </c>
      <c r="AE55" s="13">
        <f>IF(AE7=0,0,IF(AE4&gt;Вводные!$D$7,0,AD55+AE6))</f>
        <v>0</v>
      </c>
      <c r="AF55" s="13">
        <f>IF(AF7=0,0,IF(AF4&gt;Вводные!$D$7,0,AE55+AF6))</f>
        <v>0</v>
      </c>
      <c r="AG55" s="13">
        <f>IF(AG7=0,0,IF(AG4&gt;Вводные!$D$7,0,AF55+AG6))</f>
        <v>0</v>
      </c>
      <c r="AH55" s="13">
        <f>IF(AH7=0,0,IF(AH4&gt;Вводные!$D$7,0,AG55+AH6))</f>
        <v>0</v>
      </c>
      <c r="AI55" s="13">
        <f>IF(AI7=0,0,IF(AI4&gt;Вводные!$D$7,0,AH55+AI6))</f>
        <v>0</v>
      </c>
      <c r="AJ55" s="13">
        <f>IF(AJ7=0,0,IF(AJ4&gt;Вводные!$D$7,0,AI55+AJ6))</f>
        <v>0</v>
      </c>
      <c r="AK55" s="13">
        <f>IF(AK7=0,0,IF(AK4&gt;Вводные!$D$7,0,AJ55+AK6))</f>
        <v>0</v>
      </c>
      <c r="AL55" s="13">
        <f>IF(AL7=0,0,IF(AL4&gt;Вводные!$D$7,0,AK55+AL6))</f>
        <v>0</v>
      </c>
      <c r="AM55" s="13">
        <f>IF(AM7=0,0,IF(AM4&gt;Вводные!$D$7,0,AL55+AM6))</f>
        <v>0</v>
      </c>
      <c r="AN55" s="13">
        <f>IF(AN7=0,0,IF(AN4&gt;Вводные!$D$7,0,AM55+AN6))</f>
        <v>0</v>
      </c>
      <c r="AO55" s="13">
        <f>IF(AO7=0,0,IF(AO4&gt;Вводные!$D$7,0,AN55+AO6))</f>
        <v>0</v>
      </c>
      <c r="AP55" s="13">
        <f>IF(AP7=0,0,IF(AP4&gt;Вводные!$D$7,0,AO55+AP6))</f>
        <v>0</v>
      </c>
      <c r="AQ55" s="13">
        <f>IF(AQ7=0,0,IF(AQ4&gt;Вводные!$D$7,0,AP55+AQ6))</f>
        <v>0</v>
      </c>
      <c r="AR55" s="13">
        <f>IF(AR7=0,0,IF(AR4&gt;Вводные!$D$7,0,AQ55+AR6))</f>
        <v>0</v>
      </c>
      <c r="AS55" s="13">
        <f>IF(AS7=0,0,IF(AS4&gt;Вводные!$D$7,0,AR55+AS6))</f>
        <v>0</v>
      </c>
      <c r="AT55" s="13">
        <f>IF(AT7=0,0,IF(AT4&gt;Вводные!$D$7,0,AS55+AT6))</f>
        <v>0</v>
      </c>
      <c r="AU55" s="13">
        <f>IF(AU7=0,0,IF(AU4&gt;Вводные!$D$7,0,AT55+AU6))</f>
        <v>0</v>
      </c>
      <c r="AV55" s="13">
        <f>IF(AV7=0,0,IF(AV4&gt;Вводные!$D$7,0,AU55+AV6))</f>
        <v>0</v>
      </c>
      <c r="AW55" s="13">
        <f>IF(AW7=0,0,IF(AW4&gt;Вводные!$D$7,0,AV55+AW6))</f>
        <v>0</v>
      </c>
      <c r="AX55" s="13">
        <f>IF(AX7=0,0,IF(AX4&gt;Вводные!$D$7,0,AW55+AX6))</f>
        <v>0</v>
      </c>
      <c r="AY55" s="13">
        <f>IF(AY7=0,0,IF(AY4&gt;Вводные!$D$7,0,AX55+AY6))</f>
        <v>0</v>
      </c>
      <c r="AZ55" s="13">
        <f>IF(AZ7=0,0,IF(AZ4&gt;Вводные!$D$7,0,AY55+AZ6))</f>
        <v>0</v>
      </c>
      <c r="BA55" s="13">
        <f>IF(BA7=0,0,IF(BA4&gt;Вводные!$D$7,0,AZ55+BA6))</f>
        <v>0</v>
      </c>
      <c r="BB55" s="13">
        <f>IF(BB7=0,0,IF(BB4&gt;Вводные!$D$7,0,BA55+BB6))</f>
        <v>0</v>
      </c>
    </row>
    <row r="56" spans="2:54" s="96" customFormat="1" x14ac:dyDescent="0.2">
      <c r="D56" s="113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  <c r="U56" s="235"/>
      <c r="V56" s="235"/>
      <c r="W56" s="235"/>
      <c r="X56" s="235"/>
      <c r="Y56" s="235"/>
      <c r="Z56" s="235"/>
      <c r="AA56" s="235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5"/>
      <c r="AQ56" s="235"/>
      <c r="AR56" s="235"/>
      <c r="AS56" s="235"/>
      <c r="AT56" s="235"/>
      <c r="AU56" s="235"/>
      <c r="AV56" s="235"/>
      <c r="AW56" s="235"/>
      <c r="AX56" s="235"/>
      <c r="AY56" s="235"/>
      <c r="AZ56" s="235"/>
      <c r="BA56" s="235"/>
      <c r="BB56" s="235"/>
    </row>
    <row r="57" spans="2:54" x14ac:dyDescent="0.2">
      <c r="D57" s="219"/>
      <c r="E57" s="61"/>
      <c r="F57" s="113"/>
      <c r="I57" s="61"/>
    </row>
    <row r="58" spans="2:54" x14ac:dyDescent="0.2">
      <c r="D58" s="233"/>
      <c r="F58" s="13"/>
    </row>
    <row r="59" spans="2:54" x14ac:dyDescent="0.2">
      <c r="D59" s="233"/>
      <c r="F59" s="13"/>
    </row>
    <row r="60" spans="2:54" x14ac:dyDescent="0.2">
      <c r="D60" s="13"/>
    </row>
    <row r="61" spans="2:54" x14ac:dyDescent="0.2"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</row>
    <row r="62" spans="2:54" x14ac:dyDescent="0.2">
      <c r="D62" s="219"/>
      <c r="F62" s="113"/>
    </row>
    <row r="63" spans="2:54" x14ac:dyDescent="0.2">
      <c r="D63" s="233"/>
    </row>
    <row r="64" spans="2:54" x14ac:dyDescent="0.2">
      <c r="D64" s="233"/>
    </row>
    <row r="66" spans="4:54" x14ac:dyDescent="0.2"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</row>
    <row r="69" spans="4:54" x14ac:dyDescent="0.2"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</row>
    <row r="70" spans="4:54" x14ac:dyDescent="0.2"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</row>
    <row r="91" spans="2:54" x14ac:dyDescent="0.2">
      <c r="B91" s="2" t="s">
        <v>157</v>
      </c>
      <c r="D91" s="2">
        <f>D4*12</f>
        <v>0</v>
      </c>
      <c r="E91" s="2">
        <f>E4*$A$4</f>
        <v>12</v>
      </c>
      <c r="F91" s="2">
        <f>IF(F4&gt;Вводные!$D$7,0,F4*$A$4)</f>
        <v>24</v>
      </c>
      <c r="G91" s="2">
        <f>IF(G4&gt;Вводные!$D$7,0,G4*$A$4)</f>
        <v>36</v>
      </c>
      <c r="H91" s="2">
        <f>IF(H4&gt;Вводные!$D$7,0,H4*$A$4)</f>
        <v>48</v>
      </c>
      <c r="I91" s="2">
        <f>IF(I4&gt;Вводные!$D$7,0,I4*$A$4)</f>
        <v>60</v>
      </c>
      <c r="J91" s="2">
        <f>IF(J4&gt;Вводные!$D$7,0,J4*$A$4)</f>
        <v>72</v>
      </c>
      <c r="K91" s="2">
        <f>IF(K4&gt;Вводные!$D$7,0,K4*$A$4)</f>
        <v>84</v>
      </c>
      <c r="L91" s="2">
        <f>IF(L4&gt;Вводные!$D$7,0,L4*$A$4)</f>
        <v>96</v>
      </c>
      <c r="M91" s="2">
        <f>IF(M4&gt;Вводные!$D$7,0,M4*$A$4)</f>
        <v>108</v>
      </c>
      <c r="N91" s="2">
        <f>IF(N4&gt;Вводные!$D$7,0,N4*$A$4)</f>
        <v>120</v>
      </c>
      <c r="O91" s="2">
        <f>IF(O4&gt;Вводные!$D$7,0,O4*$A$4)</f>
        <v>132</v>
      </c>
      <c r="P91" s="2">
        <f>IF(P4&gt;Вводные!$D$7,0,P4*$A$4)</f>
        <v>144</v>
      </c>
      <c r="Q91" s="2">
        <f>IF(Q4&gt;Вводные!$D$7,0,Q4*$A$4)</f>
        <v>156</v>
      </c>
      <c r="R91" s="2">
        <f>IF(R4&gt;Вводные!$D$7,0,R4*$A$4)</f>
        <v>168</v>
      </c>
      <c r="S91" s="2">
        <f>IF(S4&gt;Вводные!$D$7,0,S4*$A$4)</f>
        <v>180</v>
      </c>
      <c r="T91" s="2">
        <f>IF(T4&gt;Вводные!$D$7,0,T4*$A$4)</f>
        <v>0</v>
      </c>
      <c r="U91" s="2">
        <f>IF(U4&gt;Вводные!$D$7,0,U4*$A$4)</f>
        <v>0</v>
      </c>
      <c r="V91" s="2">
        <f>IF(V4&gt;Вводные!$D$7,0,V4*$A$4)</f>
        <v>0</v>
      </c>
      <c r="W91" s="2">
        <f>IF(W4&gt;Вводные!$D$7,0,W4*$A$4)</f>
        <v>0</v>
      </c>
      <c r="X91" s="2">
        <f>IF(X4&gt;Вводные!$D$7,0,X4*$A$4)</f>
        <v>0</v>
      </c>
      <c r="Y91" s="2">
        <f>IF(Y4&gt;Вводные!$D$7,0,Y4*$A$4)</f>
        <v>0</v>
      </c>
      <c r="Z91" s="2">
        <f>IF(Z4&gt;Вводные!$D$7,0,Z4*$A$4)</f>
        <v>0</v>
      </c>
      <c r="AA91" s="2">
        <f>IF(AA4&gt;Вводные!$D$7,0,AA4*$A$4)</f>
        <v>0</v>
      </c>
      <c r="AB91" s="2">
        <f>IF(AB4&gt;Вводные!$D$7,0,AB4*$A$4)</f>
        <v>0</v>
      </c>
      <c r="AC91" s="2">
        <f>IF(AC4&gt;Вводные!$D$7,0,AC4*$A$4)</f>
        <v>0</v>
      </c>
      <c r="AD91" s="2">
        <f>IF(AD4&gt;Вводные!$D$7,0,AD4*$A$4)</f>
        <v>0</v>
      </c>
      <c r="AE91" s="2">
        <f>IF(AE4&gt;Вводные!$D$7,0,AE4*$A$4)</f>
        <v>0</v>
      </c>
      <c r="AF91" s="2">
        <f>IF(AF4&gt;Вводные!$D$7,0,AF4*$A$4)</f>
        <v>0</v>
      </c>
      <c r="AG91" s="2">
        <f>IF(AG4&gt;Вводные!$D$7,0,AG4*$A$4)</f>
        <v>0</v>
      </c>
      <c r="AH91" s="2">
        <f>IF(AH4&gt;Вводные!$D$7,0,AH4*$A$4)</f>
        <v>0</v>
      </c>
      <c r="AI91" s="2">
        <f>IF(AI4&gt;Вводные!$D$7,0,AI4*$A$4)</f>
        <v>0</v>
      </c>
      <c r="AJ91" s="2">
        <f>IF(AJ4&gt;Вводные!$D$7,0,AJ4*$A$4)</f>
        <v>0</v>
      </c>
      <c r="AK91" s="2">
        <f>IF(AK4&gt;Вводные!$D$7,0,AK4*$A$4)</f>
        <v>0</v>
      </c>
      <c r="AL91" s="2">
        <f>IF(AL4&gt;Вводные!$D$7,0,AL4*$A$4)</f>
        <v>0</v>
      </c>
      <c r="AM91" s="2">
        <f>IF(AM4&gt;Вводные!$D$7,0,AM4*$A$4)</f>
        <v>0</v>
      </c>
      <c r="AN91" s="2">
        <f>IF(AN4&gt;Вводные!$D$7,0,AN4*$A$4)</f>
        <v>0</v>
      </c>
      <c r="AO91" s="2">
        <f>IF(AO4&gt;Вводные!$D$7,0,AO4*$A$4)</f>
        <v>0</v>
      </c>
      <c r="AP91" s="2">
        <f>IF(AP4&gt;Вводные!$D$7,0,AP4*$A$4)</f>
        <v>0</v>
      </c>
      <c r="AQ91" s="2">
        <f>IF(AQ4&gt;Вводные!$D$7,0,AQ4*$A$4)</f>
        <v>0</v>
      </c>
      <c r="AR91" s="2">
        <f>IF(AR4&gt;Вводные!$D$7,0,AR4*$A$4)</f>
        <v>0</v>
      </c>
      <c r="AS91" s="2">
        <f>IF(AS4&gt;Вводные!$D$7,0,AS4*$A$4)</f>
        <v>0</v>
      </c>
      <c r="AT91" s="2">
        <f>IF(AT4&gt;Вводные!$D$7,0,AT4*$A$4)</f>
        <v>0</v>
      </c>
      <c r="AU91" s="2">
        <f>IF(AU4&gt;Вводные!$D$7,0,AU4*$A$4)</f>
        <v>0</v>
      </c>
      <c r="AV91" s="2">
        <f>IF(AV4&gt;Вводные!$D$7,0,AV4*$A$4)</f>
        <v>0</v>
      </c>
      <c r="AW91" s="2">
        <f>IF(AW4&gt;Вводные!$D$7,0,AW4*$A$4)</f>
        <v>0</v>
      </c>
      <c r="AX91" s="2">
        <f>IF(AX4&gt;Вводные!$D$7,0,AX4*$A$4)</f>
        <v>0</v>
      </c>
      <c r="AY91" s="2">
        <f>IF(AY4&gt;Вводные!$D$7,0,AY4*$A$4)</f>
        <v>0</v>
      </c>
      <c r="AZ91" s="2">
        <f>IF(AZ4&gt;Вводные!$D$7,0,AZ4*$A$4)</f>
        <v>0</v>
      </c>
      <c r="BA91" s="2">
        <f>IF(BA4&gt;Вводные!$D$7,0,BA4*$A$4)</f>
        <v>0</v>
      </c>
      <c r="BB91" s="2">
        <f>IF(BB4&gt;Вводные!$D$7,0,BB4*$A$4)</f>
        <v>0</v>
      </c>
    </row>
    <row r="92" spans="2:54" x14ac:dyDescent="0.2">
      <c r="B92" s="2" t="s">
        <v>158</v>
      </c>
      <c r="D92" s="2">
        <v>0</v>
      </c>
      <c r="E92" s="2">
        <v>1</v>
      </c>
      <c r="F92" s="2">
        <f>IF(F4&gt;Вводные!$D$7,0,E92+$A$4)</f>
        <v>13</v>
      </c>
      <c r="G92" s="2">
        <f>IF(G4&gt;Вводные!$D$7,0,F92+$A$4)</f>
        <v>25</v>
      </c>
      <c r="H92" s="2">
        <f>IF(H4&gt;Вводные!$D$7,0,G92+$A$4)</f>
        <v>37</v>
      </c>
      <c r="I92" s="2">
        <f>IF(I4&gt;Вводные!$D$7,0,H92+$A$4)</f>
        <v>49</v>
      </c>
      <c r="J92" s="2">
        <f>IF(J4&gt;Вводные!$D$7,0,I92+$A$4)</f>
        <v>61</v>
      </c>
      <c r="K92" s="2">
        <f>IF(K4&gt;Вводные!$D$7,0,J92+$A$4)</f>
        <v>73</v>
      </c>
      <c r="L92" s="2">
        <f>IF(L4&gt;Вводные!$D$7,0,K92+$A$4)</f>
        <v>85</v>
      </c>
      <c r="M92" s="2">
        <f>IF(M4&gt;Вводные!$D$7,0,L92+$A$4)</f>
        <v>97</v>
      </c>
      <c r="N92" s="2">
        <f>IF(N4&gt;Вводные!$D$7,0,M92+$A$4)</f>
        <v>109</v>
      </c>
      <c r="O92" s="2">
        <f>IF(O4&gt;Вводные!$D$7,0,N92+$A$4)</f>
        <v>121</v>
      </c>
      <c r="P92" s="2">
        <f>IF(P4&gt;Вводные!$D$7,0,O92+$A$4)</f>
        <v>133</v>
      </c>
      <c r="Q92" s="2">
        <f>IF(Q4&gt;Вводные!$D$7,0,P92+$A$4)</f>
        <v>145</v>
      </c>
      <c r="R92" s="2">
        <f>IF(R4&gt;Вводные!$D$7,0,Q92+$A$4)</f>
        <v>157</v>
      </c>
      <c r="S92" s="2">
        <f>IF(S4&gt;Вводные!$D$7,0,R92+$A$4)</f>
        <v>169</v>
      </c>
      <c r="T92" s="2">
        <f>IF(T4&gt;Вводные!$D$7,0,S92+$A$4)</f>
        <v>0</v>
      </c>
      <c r="U92" s="2">
        <f>IF(U4&gt;Вводные!$D$7,0,T92+$A$4)</f>
        <v>0</v>
      </c>
      <c r="V92" s="2">
        <f>IF(V4&gt;Вводные!$D$7,0,U92+$A$4)</f>
        <v>0</v>
      </c>
      <c r="W92" s="2">
        <f>IF(W4&gt;Вводные!$D$7,0,V92+$A$4)</f>
        <v>0</v>
      </c>
      <c r="X92" s="2">
        <f>IF(X4&gt;Вводные!$D$7,0,W92+$A$4)</f>
        <v>0</v>
      </c>
      <c r="Y92" s="2">
        <f>IF(Y4&gt;Вводные!$D$7,0,X92+$A$4)</f>
        <v>0</v>
      </c>
      <c r="Z92" s="2">
        <f>IF(Z4&gt;Вводные!$D$7,0,Y92+$A$4)</f>
        <v>0</v>
      </c>
      <c r="AA92" s="2">
        <f>IF(AA4&gt;Вводные!$D$7,0,Z92+$A$4)</f>
        <v>0</v>
      </c>
      <c r="AB92" s="2">
        <f>IF(AB4&gt;Вводные!$D$7,0,AA92+$A$4)</f>
        <v>0</v>
      </c>
      <c r="AC92" s="2">
        <f>IF(AC4&gt;Вводные!$D$7,0,AB92+$A$4)</f>
        <v>0</v>
      </c>
      <c r="AD92" s="2">
        <f>IF(AD4&gt;Вводные!$D$7,0,AC92+$A$4)</f>
        <v>0</v>
      </c>
      <c r="AE92" s="2">
        <f>IF(AE4&gt;Вводные!$D$7,0,AD92+$A$4)</f>
        <v>0</v>
      </c>
      <c r="AF92" s="2">
        <f>IF(AF4&gt;Вводные!$D$7,0,AE92+$A$4)</f>
        <v>0</v>
      </c>
      <c r="AG92" s="2">
        <f>IF(AG4&gt;Вводные!$D$7,0,AF92+$A$4)</f>
        <v>0</v>
      </c>
      <c r="AH92" s="2">
        <f>IF(AH4&gt;Вводные!$D$7,0,AG92+$A$4)</f>
        <v>0</v>
      </c>
      <c r="AI92" s="2">
        <f>IF(AI4&gt;Вводные!$D$7,0,AH92+$A$4)</f>
        <v>0</v>
      </c>
      <c r="AJ92" s="2">
        <f>IF(AJ4&gt;Вводные!$D$7,0,AI92+$A$4)</f>
        <v>0</v>
      </c>
      <c r="AK92" s="2">
        <f>IF(AK4&gt;Вводные!$D$7,0,AJ92+$A$4)</f>
        <v>0</v>
      </c>
      <c r="AL92" s="2">
        <f>IF(AL4&gt;Вводные!$D$7,0,AK92+$A$4)</f>
        <v>0</v>
      </c>
      <c r="AM92" s="2">
        <f>IF(AM4&gt;Вводные!$D$7,0,AL92+$A$4)</f>
        <v>0</v>
      </c>
      <c r="AN92" s="2">
        <f>IF(AN4&gt;Вводные!$D$7,0,AM92+$A$4)</f>
        <v>0</v>
      </c>
      <c r="AO92" s="2">
        <f>IF(AO4&gt;Вводные!$D$7,0,AN92+$A$4)</f>
        <v>0</v>
      </c>
      <c r="AP92" s="2">
        <f>IF(AP4&gt;Вводные!$D$7,0,AO92+$A$4)</f>
        <v>0</v>
      </c>
      <c r="AQ92" s="2">
        <f>IF(AQ4&gt;Вводные!$D$7,0,AP92+$A$4)</f>
        <v>0</v>
      </c>
      <c r="AR92" s="2">
        <f>IF(AR4&gt;Вводные!$D$7,0,AQ92+$A$4)</f>
        <v>0</v>
      </c>
      <c r="AS92" s="2">
        <f>IF(AS4&gt;Вводные!$D$7,0,AR92+$A$4)</f>
        <v>0</v>
      </c>
      <c r="AT92" s="2">
        <f>IF(AT4&gt;Вводные!$D$7,0,AS92+$A$4)</f>
        <v>0</v>
      </c>
      <c r="AU92" s="2">
        <f>IF(AU4&gt;Вводные!$D$7,0,AT92+$A$4)</f>
        <v>0</v>
      </c>
      <c r="AV92" s="2">
        <f>IF(AV4&gt;Вводные!$D$7,0,AU92+$A$4)</f>
        <v>0</v>
      </c>
      <c r="AW92" s="2">
        <f>IF(AW4&gt;Вводные!$D$7,0,AV92+$A$4)</f>
        <v>0</v>
      </c>
      <c r="AX92" s="2">
        <f>IF(AX4&gt;Вводные!$D$7,0,AW92+$A$4)</f>
        <v>0</v>
      </c>
      <c r="AY92" s="2">
        <f>IF(AY4&gt;Вводные!$D$7,0,AX92+$A$4)</f>
        <v>0</v>
      </c>
      <c r="AZ92" s="2">
        <f>IF(AZ4&gt;Вводные!$D$7,0,AY92+$A$4)</f>
        <v>0</v>
      </c>
      <c r="BA92" s="2">
        <f>IF(BA4&gt;Вводные!$D$7,0,AZ92+$A$4)</f>
        <v>0</v>
      </c>
      <c r="BB92" s="2">
        <f>IF(BB4&gt;Вводные!$D$7,0,BA92+$A$4)</f>
        <v>0</v>
      </c>
    </row>
    <row r="93" spans="2:54" x14ac:dyDescent="0.2">
      <c r="B93" s="2" t="s">
        <v>159</v>
      </c>
      <c r="D93" s="2">
        <v>0</v>
      </c>
      <c r="E93" s="2">
        <v>12</v>
      </c>
      <c r="F93" s="2">
        <f>IF(F4&gt;Вводные!$D$7,0,E93+$A$4)</f>
        <v>24</v>
      </c>
      <c r="G93" s="2">
        <f>IF(G4&gt;Вводные!$D$7,0,F93+$A$4)</f>
        <v>36</v>
      </c>
      <c r="H93" s="2">
        <f>IF(H4&gt;Вводные!$D$7,0,G93+$A$4)</f>
        <v>48</v>
      </c>
      <c r="I93" s="2">
        <f>IF(I4&gt;Вводные!$D$7,0,H93+$A$4)</f>
        <v>60</v>
      </c>
      <c r="J93" s="2">
        <f>IF(J4&gt;Вводные!$D$7,0,I93+$A$4)</f>
        <v>72</v>
      </c>
      <c r="K93" s="2">
        <f>IF(K4&gt;Вводные!$D$7,0,J93+$A$4)</f>
        <v>84</v>
      </c>
      <c r="L93" s="2">
        <f>IF(L4&gt;Вводные!$D$7,0,K93+$A$4)</f>
        <v>96</v>
      </c>
      <c r="M93" s="2">
        <f>IF(M4&gt;Вводные!$D$7,0,L93+$A$4)</f>
        <v>108</v>
      </c>
      <c r="N93" s="2">
        <f>IF(N4&gt;Вводные!$D$7,0,M93+$A$4)</f>
        <v>120</v>
      </c>
      <c r="O93" s="2">
        <f>IF(O4&gt;Вводные!$D$7,0,N93+$A$4)</f>
        <v>132</v>
      </c>
      <c r="P93" s="2">
        <f>IF(P4&gt;Вводные!$D$7,0,O93+$A$4)</f>
        <v>144</v>
      </c>
      <c r="Q93" s="2">
        <f>IF(Q4&gt;Вводные!$D$7,0,P93+$A$4)</f>
        <v>156</v>
      </c>
      <c r="R93" s="2">
        <f>IF(R4&gt;Вводные!$D$7,0,Q93+$A$4)</f>
        <v>168</v>
      </c>
      <c r="S93" s="2">
        <f>IF(S4&gt;Вводные!$D$7,0,R93+$A$4)</f>
        <v>180</v>
      </c>
      <c r="T93" s="2">
        <f>IF(T4&gt;Вводные!$D$7,0,S93+$A$4)</f>
        <v>0</v>
      </c>
      <c r="U93" s="2">
        <f>IF(U4&gt;Вводные!$D$7,0,T93+$A$4)</f>
        <v>0</v>
      </c>
      <c r="V93" s="2">
        <f>IF(V4&gt;Вводные!$D$7,0,U93+$A$4)</f>
        <v>0</v>
      </c>
      <c r="W93" s="2">
        <f>IF(W4&gt;Вводные!$D$7,0,V93+$A$4)</f>
        <v>0</v>
      </c>
      <c r="X93" s="2">
        <f>IF(X4&gt;Вводные!$D$7,0,W93+$A$4)</f>
        <v>0</v>
      </c>
      <c r="Y93" s="2">
        <f>IF(Y4&gt;Вводные!$D$7,0,X93+$A$4)</f>
        <v>0</v>
      </c>
      <c r="Z93" s="2">
        <f>IF(Z4&gt;Вводные!$D$7,0,Y93+$A$4)</f>
        <v>0</v>
      </c>
      <c r="AA93" s="2">
        <f>IF(AA4&gt;Вводные!$D$7,0,Z93+$A$4)</f>
        <v>0</v>
      </c>
      <c r="AB93" s="2">
        <f>IF(AB4&gt;Вводные!$D$7,0,AA93+$A$4)</f>
        <v>0</v>
      </c>
      <c r="AC93" s="2">
        <f>IF(AC4&gt;Вводные!$D$7,0,AB93+$A$4)</f>
        <v>0</v>
      </c>
      <c r="AD93" s="2">
        <f>IF(AD4&gt;Вводные!$D$7,0,AC93+$A$4)</f>
        <v>0</v>
      </c>
      <c r="AE93" s="2">
        <f>IF(AE4&gt;Вводные!$D$7,0,AD93+$A$4)</f>
        <v>0</v>
      </c>
      <c r="AF93" s="2">
        <f>IF(AF4&gt;Вводные!$D$7,0,AE93+$A$4)</f>
        <v>0</v>
      </c>
      <c r="AG93" s="2">
        <f>IF(AG4&gt;Вводные!$D$7,0,AF93+$A$4)</f>
        <v>0</v>
      </c>
      <c r="AH93" s="2">
        <f>IF(AH4&gt;Вводные!$D$7,0,AG93+$A$4)</f>
        <v>0</v>
      </c>
      <c r="AI93" s="2">
        <f>IF(AI4&gt;Вводные!$D$7,0,AH93+$A$4)</f>
        <v>0</v>
      </c>
      <c r="AJ93" s="2">
        <f>IF(AJ4&gt;Вводные!$D$7,0,AI93+$A$4)</f>
        <v>0</v>
      </c>
      <c r="AK93" s="2">
        <f>IF(AK4&gt;Вводные!$D$7,0,AJ93+$A$4)</f>
        <v>0</v>
      </c>
      <c r="AL93" s="2">
        <f>IF(AL4&gt;Вводные!$D$7,0,AK93+$A$4)</f>
        <v>0</v>
      </c>
      <c r="AM93" s="2">
        <f>IF(AM4&gt;Вводные!$D$7,0,AL93+$A$4)</f>
        <v>0</v>
      </c>
      <c r="AN93" s="2">
        <f>IF(AN4&gt;Вводные!$D$7,0,AM93+$A$4)</f>
        <v>0</v>
      </c>
      <c r="AO93" s="2">
        <f>IF(AO4&gt;Вводные!$D$7,0,AN93+$A$4)</f>
        <v>0</v>
      </c>
      <c r="AP93" s="2">
        <f>IF(AP4&gt;Вводные!$D$7,0,AO93+$A$4)</f>
        <v>0</v>
      </c>
      <c r="AQ93" s="2">
        <f>IF(AQ4&gt;Вводные!$D$7,0,AP93+$A$4)</f>
        <v>0</v>
      </c>
      <c r="AR93" s="2">
        <f>IF(AR4&gt;Вводные!$D$7,0,AQ93+$A$4)</f>
        <v>0</v>
      </c>
      <c r="AS93" s="2">
        <f>IF(AS4&gt;Вводные!$D$7,0,AR93+$A$4)</f>
        <v>0</v>
      </c>
      <c r="AT93" s="2">
        <f>IF(AT4&gt;Вводные!$D$7,0,AS93+$A$4)</f>
        <v>0</v>
      </c>
      <c r="AU93" s="2">
        <f>IF(AU4&gt;Вводные!$D$7,0,AT93+$A$4)</f>
        <v>0</v>
      </c>
      <c r="AV93" s="2">
        <f>IF(AV4&gt;Вводные!$D$7,0,AU93+$A$4)</f>
        <v>0</v>
      </c>
      <c r="AW93" s="2">
        <f>IF(AW4&gt;Вводные!$D$7,0,AV93+$A$4)</f>
        <v>0</v>
      </c>
      <c r="AX93" s="2">
        <f>IF(AX4&gt;Вводные!$D$7,0,AW93+$A$4)</f>
        <v>0</v>
      </c>
      <c r="AY93" s="2">
        <f>IF(AY4&gt;Вводные!$D$7,0,AX93+$A$4)</f>
        <v>0</v>
      </c>
      <c r="AZ93" s="2">
        <f>IF(AZ4&gt;Вводные!$D$7,0,AY93+$A$4)</f>
        <v>0</v>
      </c>
      <c r="BA93" s="2">
        <f>IF(BA4&gt;Вводные!$D$7,0,AZ93+$A$4)</f>
        <v>0</v>
      </c>
      <c r="BB93" s="2">
        <f>IF(BB4&gt;Вводные!$D$7,0,BA93+$A$4)</f>
        <v>0</v>
      </c>
    </row>
  </sheetData>
  <pageMargins left="0.7" right="0.7" top="0.75" bottom="0.75" header="0.3" footer="0.3"/>
  <pageSetup paperSize="9" orientation="portrait" r:id="rId1"/>
  <ignoredErrors>
    <ignoredError sqref="E36:F36 X36:BB36 G36:W36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BF195A5-3492-4A27-8156-F95C42C5C888}">
            <xm:f>Вводные!$D$10=0</xm:f>
            <x14:dxf>
              <font>
                <strike/>
                <color theme="2"/>
              </font>
            </x14:dxf>
          </x14:cfRule>
          <xm:sqref>A34:XFD35</xm:sqref>
        </x14:conditionalFormatting>
        <x14:conditionalFormatting xmlns:xm="http://schemas.microsoft.com/office/excel/2006/main">
          <x14:cfRule type="expression" priority="452" id="{7A840085-4D1E-456C-9C78-330120FF4C3E}">
            <xm:f>Вводные!$D$11="Нет"</xm:f>
            <x14:dxf>
              <font>
                <strike/>
                <color theme="2"/>
              </font>
              <fill>
                <patternFill>
                  <bgColor theme="0"/>
                </patternFill>
              </fill>
            </x14:dxf>
          </x14:cfRule>
          <xm:sqref>B5:BB7 A29:XFD29 A41:XFD41</xm:sqref>
        </x14:conditionalFormatting>
        <x14:conditionalFormatting xmlns:xm="http://schemas.microsoft.com/office/excel/2006/main">
          <x14:cfRule type="expression" priority="7" id="{7ED09C73-9B24-47D3-BE1F-DC97A4F15C54}">
            <xm:f>Вводные!$D$20="Нет"</xm:f>
            <x14:dxf>
              <font>
                <strike/>
                <color theme="2"/>
              </font>
              <fill>
                <patternFill>
                  <bgColor theme="0"/>
                </patternFill>
              </fill>
            </x14:dxf>
          </x14:cfRule>
          <xm:sqref>B9:BB9</xm:sqref>
        </x14:conditionalFormatting>
        <x14:conditionalFormatting xmlns:xm="http://schemas.microsoft.com/office/excel/2006/main">
          <x14:cfRule type="expression" priority="451" id="{7ED09C73-9B24-47D3-BE1F-DC97A4F15C54}">
            <xm:f>Вводные!$D$19="Нет"</xm:f>
            <x14:dxf>
              <font>
                <strike/>
                <color theme="2"/>
              </font>
              <fill>
                <patternFill>
                  <bgColor theme="0"/>
                </patternFill>
              </fill>
            </x14:dxf>
          </x14:cfRule>
          <xm:sqref>B9:BB11</xm:sqref>
        </x14:conditionalFormatting>
        <x14:conditionalFormatting xmlns:xm="http://schemas.microsoft.com/office/excel/2006/main">
          <x14:cfRule type="expression" priority="456" id="{9E014EE8-560B-4651-B698-5B93A1B4A6E9}">
            <xm:f>Вводные!$D$20="Да"</xm:f>
            <x14:dxf>
              <font>
                <strike/>
                <color theme="2"/>
              </font>
              <fill>
                <patternFill>
                  <bgColor theme="0"/>
                </patternFill>
              </fill>
            </x14:dxf>
          </x14:cfRule>
          <xm:sqref>B10:BB10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56AAB-D24B-4283-BD26-CB8C50AF12CA}">
  <sheetPr codeName="Лист7">
    <tabColor theme="0" tint="-0.14999847407452621"/>
  </sheetPr>
  <dimension ref="A2:S612"/>
  <sheetViews>
    <sheetView showGridLines="0" zoomScale="115" zoomScaleNormal="115" workbookViewId="0">
      <pane ySplit="9" topLeftCell="A241" activePane="bottomLeft" state="frozen"/>
      <selection activeCell="B13" sqref="B13"/>
      <selection pane="bottomLeft" activeCell="C268" sqref="C268"/>
    </sheetView>
  </sheetViews>
  <sheetFormatPr defaultColWidth="9.140625" defaultRowHeight="12.75" x14ac:dyDescent="0.2"/>
  <cols>
    <col min="1" max="1" width="9.140625" style="2"/>
    <col min="2" max="7" width="14" style="2" customWidth="1"/>
    <col min="8" max="8" width="1.85546875" style="2" customWidth="1"/>
    <col min="9" max="10" width="22.85546875" style="2" customWidth="1"/>
    <col min="11" max="11" width="2.7109375" style="2" customWidth="1"/>
    <col min="12" max="13" width="22.85546875" style="2" customWidth="1"/>
    <col min="14" max="14" width="9.140625" style="265"/>
    <col min="15" max="15" width="16" style="265" bestFit="1" customWidth="1"/>
    <col min="16" max="16" width="15" style="265" bestFit="1" customWidth="1"/>
    <col min="17" max="17" width="9.140625" style="265"/>
    <col min="18" max="19" width="11.42578125" style="128" bestFit="1" customWidth="1"/>
    <col min="20" max="16384" width="9.140625" style="2"/>
  </cols>
  <sheetData>
    <row r="2" spans="1:17" x14ac:dyDescent="0.2">
      <c r="A2" s="92">
        <v>12</v>
      </c>
      <c r="B2" s="89" t="s">
        <v>160</v>
      </c>
      <c r="C2" s="89"/>
      <c r="D2" s="110"/>
      <c r="E2" s="89"/>
      <c r="F2" s="89"/>
      <c r="G2" s="89"/>
      <c r="H2" s="89"/>
      <c r="I2" s="89"/>
      <c r="J2" s="89"/>
      <c r="K2" s="89"/>
      <c r="L2" s="89"/>
      <c r="M2" s="89"/>
    </row>
    <row r="3" spans="1:17" x14ac:dyDescent="0.2">
      <c r="N3" s="265" t="s">
        <v>214</v>
      </c>
      <c r="O3" s="270">
        <f>-Покупка!D23</f>
        <v>3000000</v>
      </c>
      <c r="P3" s="265" t="s">
        <v>215</v>
      </c>
      <c r="Q3" s="271">
        <f>O4/O3</f>
        <v>3.3333333333333335</v>
      </c>
    </row>
    <row r="4" spans="1:17" x14ac:dyDescent="0.2">
      <c r="B4" s="2" t="s">
        <v>31</v>
      </c>
      <c r="D4" s="13">
        <f>IF(Вводные!D11="Да",Вводные!D14,0)</f>
        <v>7000000</v>
      </c>
      <c r="L4" s="2" t="s">
        <v>161</v>
      </c>
      <c r="M4" s="13">
        <f>SUM(L11:L612)</f>
        <v>-6999999.9999999758</v>
      </c>
      <c r="N4" s="265" t="s">
        <v>213</v>
      </c>
      <c r="O4" s="270">
        <f>Покупка!D40</f>
        <v>10000000</v>
      </c>
    </row>
    <row r="5" spans="1:17" x14ac:dyDescent="0.2">
      <c r="B5" s="2" t="s">
        <v>33</v>
      </c>
      <c r="D5" s="111">
        <f>Вводные!D15</f>
        <v>0.12</v>
      </c>
      <c r="F5" s="2" t="s">
        <v>162</v>
      </c>
      <c r="I5" s="112">
        <f>D5/A2</f>
        <v>0.01</v>
      </c>
      <c r="L5" s="2" t="s">
        <v>163</v>
      </c>
      <c r="M5" s="13">
        <f>SUM(M11:M612)</f>
        <v>-8122117.5823530955</v>
      </c>
      <c r="N5" s="265" t="s">
        <v>212</v>
      </c>
      <c r="O5" s="272">
        <f>Покупка!X42</f>
        <v>0</v>
      </c>
    </row>
    <row r="6" spans="1:17" x14ac:dyDescent="0.2">
      <c r="B6" s="2" t="s">
        <v>35</v>
      </c>
      <c r="D6" s="2">
        <f>Вводные!D16</f>
        <v>15</v>
      </c>
      <c r="F6" s="2" t="s">
        <v>32</v>
      </c>
      <c r="I6" s="37">
        <f>PMT(I5,D6*A2,D4)</f>
        <v>-84011.764346405966</v>
      </c>
      <c r="L6" s="96" t="s">
        <v>164</v>
      </c>
      <c r="M6" s="113">
        <f>M4+M5</f>
        <v>-15122117.58235307</v>
      </c>
      <c r="N6" s="265" t="s">
        <v>216</v>
      </c>
      <c r="O6" s="273">
        <f>O5-O4</f>
        <v>-10000000</v>
      </c>
    </row>
    <row r="7" spans="1:17" x14ac:dyDescent="0.2">
      <c r="I7" s="37"/>
      <c r="N7" s="265" t="s">
        <v>217</v>
      </c>
      <c r="O7" s="274">
        <f>O6/O3</f>
        <v>-3.3333333333333335</v>
      </c>
    </row>
    <row r="8" spans="1:17" x14ac:dyDescent="0.2">
      <c r="B8" s="93"/>
      <c r="C8" s="93"/>
      <c r="D8" s="93"/>
      <c r="E8" s="93"/>
      <c r="F8" s="93"/>
      <c r="G8" s="93"/>
      <c r="H8" s="96"/>
      <c r="I8" s="114" t="s">
        <v>165</v>
      </c>
      <c r="J8" s="114"/>
      <c r="K8" s="115"/>
      <c r="L8" s="114" t="s">
        <v>166</v>
      </c>
      <c r="M8" s="114"/>
      <c r="N8" s="265" t="s">
        <v>218</v>
      </c>
      <c r="O8" s="275">
        <f>O7^(1/D6)-1</f>
        <v>-2.083574018176467</v>
      </c>
    </row>
    <row r="9" spans="1:17" ht="25.5" x14ac:dyDescent="0.2">
      <c r="B9" s="116" t="s">
        <v>167</v>
      </c>
      <c r="C9" s="116" t="s">
        <v>168</v>
      </c>
      <c r="D9" s="116" t="s">
        <v>169</v>
      </c>
      <c r="E9" s="116" t="s">
        <v>170</v>
      </c>
      <c r="F9" s="116" t="s">
        <v>32</v>
      </c>
      <c r="G9" s="116" t="s">
        <v>171</v>
      </c>
      <c r="H9" s="117"/>
      <c r="I9" s="116" t="s">
        <v>172</v>
      </c>
      <c r="J9" s="116" t="s">
        <v>173</v>
      </c>
      <c r="K9" s="118"/>
      <c r="L9" s="116" t="s">
        <v>172</v>
      </c>
      <c r="M9" s="116" t="s">
        <v>173</v>
      </c>
      <c r="O9" s="276"/>
    </row>
    <row r="10" spans="1:17" x14ac:dyDescent="0.2">
      <c r="B10" s="2">
        <v>0</v>
      </c>
      <c r="G10" s="13">
        <f>D4</f>
        <v>7000000</v>
      </c>
      <c r="N10" s="265" t="s">
        <v>219</v>
      </c>
      <c r="O10" s="272">
        <f>O6+M5</f>
        <v>-18122117.582353096</v>
      </c>
      <c r="P10" s="277">
        <f>O6+I6*D6*12</f>
        <v>-25122117.582353074</v>
      </c>
    </row>
    <row r="11" spans="1:17" x14ac:dyDescent="0.2">
      <c r="B11" s="2">
        <v>1</v>
      </c>
      <c r="C11" s="13">
        <f>G10</f>
        <v>7000000</v>
      </c>
      <c r="D11" s="119">
        <f>I5</f>
        <v>0.01</v>
      </c>
      <c r="E11" s="13">
        <f>D11*C11</f>
        <v>70000</v>
      </c>
      <c r="F11" s="13">
        <f>I6</f>
        <v>-84011.764346405966</v>
      </c>
      <c r="G11" s="13">
        <f>C11+E11+F11</f>
        <v>6985988.2356535941</v>
      </c>
      <c r="I11" s="120">
        <f>IF(B11&gt;$D$6*12,0,L11/(L11+M11))</f>
        <v>0.1667833601093201</v>
      </c>
      <c r="J11" s="120">
        <f>IF(B11&gt;$D$6*12,0,M11/(L11+M11))</f>
        <v>0.83321663989067984</v>
      </c>
      <c r="L11" s="13">
        <f>IF(B11&gt;$D$6*12,0,F11+E11)</f>
        <v>-14011.764346405966</v>
      </c>
      <c r="M11" s="13">
        <f>IF(B11&gt;$D$6*12,0,-E11)</f>
        <v>-70000</v>
      </c>
      <c r="O11" s="274">
        <f>O10/O3</f>
        <v>-6.0407058607843656</v>
      </c>
      <c r="P11" s="274">
        <f>P10/O3</f>
        <v>-8.3740391941176906</v>
      </c>
    </row>
    <row r="12" spans="1:17" x14ac:dyDescent="0.2">
      <c r="B12" s="2">
        <v>2</v>
      </c>
      <c r="C12" s="13">
        <f>IF(B12&gt;$D$6*12,0,G11)</f>
        <v>6985988.2356535941</v>
      </c>
      <c r="D12" s="119">
        <f>IF(B12&gt;$D$6*12,0,D11)</f>
        <v>0.01</v>
      </c>
      <c r="E12" s="13">
        <f>IF(B12&gt;$D$6*12,0,D12*C12)</f>
        <v>69859.882356535949</v>
      </c>
      <c r="F12" s="13">
        <f>IF(B12&gt;$D$6*12,0,F11)</f>
        <v>-84011.764346405966</v>
      </c>
      <c r="G12" s="13">
        <f>IF(B12&gt;$D$6*12,0,C12+E12+F12)</f>
        <v>6971836.3536637239</v>
      </c>
      <c r="I12" s="120">
        <f t="shared" ref="I12:I75" si="0">IF(B12&gt;$D$6*12,0,L12/(L12+M12))</f>
        <v>0.1684511937104132</v>
      </c>
      <c r="J12" s="120">
        <f t="shared" ref="J12:J75" si="1">IF(B12&gt;$D$6*12,0,M12/(L12+M12))</f>
        <v>0.83154880628958683</v>
      </c>
      <c r="L12" s="13">
        <f t="shared" ref="L12:L75" si="2">IF(B12&gt;$D$6*12,0,F12+E12)</f>
        <v>-14151.881989870017</v>
      </c>
      <c r="M12" s="13">
        <f t="shared" ref="M12:M75" si="3">IF(B12&gt;$D$6*12,0,-E12)</f>
        <v>-69859.882356535949</v>
      </c>
      <c r="N12" s="265" t="s">
        <v>218</v>
      </c>
      <c r="O12" s="278">
        <f>O11^(1/$D$6)</f>
        <v>-1.1273856760611285</v>
      </c>
      <c r="P12" s="278">
        <f>P11^(1/$D$6)</f>
        <v>-1.1522029936727674</v>
      </c>
    </row>
    <row r="13" spans="1:17" x14ac:dyDescent="0.2">
      <c r="B13" s="2">
        <v>3</v>
      </c>
      <c r="C13" s="13">
        <f t="shared" ref="C13:C76" si="4">IF(B13&gt;$D$6*12,0,G12)</f>
        <v>6971836.3536637239</v>
      </c>
      <c r="D13" s="119">
        <f t="shared" ref="D13:D76" si="5">IF(B13&gt;$D$6*12,0,D12)</f>
        <v>0.01</v>
      </c>
      <c r="E13" s="13">
        <f t="shared" ref="E13:E76" si="6">IF(B13&gt;$D$6*12,0,D13*C13)</f>
        <v>69718.363536637247</v>
      </c>
      <c r="F13" s="13">
        <f t="shared" ref="F13:F76" si="7">IF(B13&gt;$D$6*12,0,F12)</f>
        <v>-84011.764346405966</v>
      </c>
      <c r="G13" s="13">
        <f t="shared" ref="G13:G76" si="8">IF(B13&gt;$D$6*12,0,C13+E13+F13)</f>
        <v>6957542.9528539553</v>
      </c>
      <c r="I13" s="120">
        <f t="shared" si="0"/>
        <v>0.17013570564751734</v>
      </c>
      <c r="J13" s="120">
        <f t="shared" si="1"/>
        <v>0.82986429435248266</v>
      </c>
      <c r="L13" s="13">
        <f t="shared" si="2"/>
        <v>-14293.400809768718</v>
      </c>
      <c r="M13" s="13">
        <f t="shared" si="3"/>
        <v>-69718.363536637247</v>
      </c>
      <c r="O13" s="278">
        <f>O12-1</f>
        <v>-2.1273856760611283</v>
      </c>
      <c r="P13" s="278">
        <f>P12-1</f>
        <v>-2.1522029936727671</v>
      </c>
    </row>
    <row r="14" spans="1:17" x14ac:dyDescent="0.2">
      <c r="B14" s="2">
        <v>4</v>
      </c>
      <c r="C14" s="13">
        <f t="shared" si="4"/>
        <v>6957542.9528539553</v>
      </c>
      <c r="D14" s="119">
        <f t="shared" si="5"/>
        <v>0.01</v>
      </c>
      <c r="E14" s="13">
        <f t="shared" si="6"/>
        <v>69575.429528539549</v>
      </c>
      <c r="F14" s="13">
        <f t="shared" si="7"/>
        <v>-84011.764346405966</v>
      </c>
      <c r="G14" s="13">
        <f t="shared" si="8"/>
        <v>6943106.6180360895</v>
      </c>
      <c r="I14" s="120">
        <f t="shared" si="0"/>
        <v>0.17183706270399265</v>
      </c>
      <c r="J14" s="120">
        <f t="shared" si="1"/>
        <v>0.82816293729600732</v>
      </c>
      <c r="L14" s="13">
        <f t="shared" si="2"/>
        <v>-14436.334817866416</v>
      </c>
      <c r="M14" s="13">
        <f t="shared" si="3"/>
        <v>-69575.429528539549</v>
      </c>
      <c r="O14" s="272"/>
    </row>
    <row r="15" spans="1:17" x14ac:dyDescent="0.2">
      <c r="B15" s="2">
        <v>5</v>
      </c>
      <c r="C15" s="13">
        <f t="shared" si="4"/>
        <v>6943106.6180360895</v>
      </c>
      <c r="D15" s="119">
        <f t="shared" si="5"/>
        <v>0.01</v>
      </c>
      <c r="E15" s="13">
        <f t="shared" si="6"/>
        <v>69431.066180360896</v>
      </c>
      <c r="F15" s="13">
        <f t="shared" si="7"/>
        <v>-84011.764346405966</v>
      </c>
      <c r="G15" s="13">
        <f t="shared" si="8"/>
        <v>6928525.9198700441</v>
      </c>
      <c r="I15" s="120">
        <f t="shared" si="0"/>
        <v>0.17355543333103243</v>
      </c>
      <c r="J15" s="120">
        <f t="shared" si="1"/>
        <v>0.8264445666689676</v>
      </c>
      <c r="L15" s="13">
        <f t="shared" si="2"/>
        <v>-14580.698166045069</v>
      </c>
      <c r="M15" s="13">
        <f t="shared" si="3"/>
        <v>-69431.066180360896</v>
      </c>
      <c r="O15" s="272"/>
    </row>
    <row r="16" spans="1:17" x14ac:dyDescent="0.2">
      <c r="B16" s="2">
        <v>6</v>
      </c>
      <c r="C16" s="13">
        <f t="shared" si="4"/>
        <v>6928525.9198700441</v>
      </c>
      <c r="D16" s="119">
        <f t="shared" si="5"/>
        <v>0.01</v>
      </c>
      <c r="E16" s="13">
        <f t="shared" si="6"/>
        <v>69285.259198700442</v>
      </c>
      <c r="F16" s="13">
        <f t="shared" si="7"/>
        <v>-84011.764346405966</v>
      </c>
      <c r="G16" s="13">
        <f t="shared" si="8"/>
        <v>6913799.4147223383</v>
      </c>
      <c r="I16" s="120">
        <f t="shared" si="0"/>
        <v>0.17529098766434281</v>
      </c>
      <c r="J16" s="120">
        <f t="shared" si="1"/>
        <v>0.82470901233565719</v>
      </c>
      <c r="L16" s="13">
        <f t="shared" si="2"/>
        <v>-14726.505147705524</v>
      </c>
      <c r="M16" s="13">
        <f t="shared" si="3"/>
        <v>-69285.259198700442</v>
      </c>
      <c r="O16" s="272"/>
    </row>
    <row r="17" spans="2:19" x14ac:dyDescent="0.2">
      <c r="B17" s="2">
        <v>7</v>
      </c>
      <c r="C17" s="13">
        <f t="shared" si="4"/>
        <v>6913799.4147223383</v>
      </c>
      <c r="D17" s="119">
        <f t="shared" si="5"/>
        <v>0.01</v>
      </c>
      <c r="E17" s="13">
        <f t="shared" si="6"/>
        <v>69137.994147223391</v>
      </c>
      <c r="F17" s="13">
        <f t="shared" si="7"/>
        <v>-84011.764346405966</v>
      </c>
      <c r="G17" s="13">
        <f t="shared" si="8"/>
        <v>6898925.6445231559</v>
      </c>
      <c r="I17" s="120">
        <f t="shared" si="0"/>
        <v>0.17704389754098618</v>
      </c>
      <c r="J17" s="120">
        <f t="shared" si="1"/>
        <v>0.82295610245901385</v>
      </c>
      <c r="L17" s="13">
        <f t="shared" si="2"/>
        <v>-14873.770199182574</v>
      </c>
      <c r="M17" s="13">
        <f t="shared" si="3"/>
        <v>-69137.994147223391</v>
      </c>
      <c r="O17" s="272"/>
    </row>
    <row r="18" spans="2:19" x14ac:dyDescent="0.2">
      <c r="B18" s="2">
        <v>8</v>
      </c>
      <c r="C18" s="13">
        <f t="shared" si="4"/>
        <v>6898925.6445231559</v>
      </c>
      <c r="D18" s="119">
        <f t="shared" si="5"/>
        <v>0.01</v>
      </c>
      <c r="E18" s="13">
        <f t="shared" si="6"/>
        <v>68989.256445231556</v>
      </c>
      <c r="F18" s="13">
        <f t="shared" si="7"/>
        <v>-84011.764346405966</v>
      </c>
      <c r="G18" s="13">
        <f t="shared" si="8"/>
        <v>6883903.1366219819</v>
      </c>
      <c r="I18" s="120">
        <f t="shared" si="0"/>
        <v>0.17881433651639617</v>
      </c>
      <c r="J18" s="120">
        <f t="shared" si="1"/>
        <v>0.82118566348360389</v>
      </c>
      <c r="L18" s="13">
        <f t="shared" si="2"/>
        <v>-15022.507901174409</v>
      </c>
      <c r="M18" s="13">
        <f t="shared" si="3"/>
        <v>-68989.256445231556</v>
      </c>
      <c r="O18" s="272"/>
    </row>
    <row r="19" spans="2:19" x14ac:dyDescent="0.2">
      <c r="B19" s="2">
        <v>9</v>
      </c>
      <c r="C19" s="13">
        <f t="shared" si="4"/>
        <v>6883903.1366219819</v>
      </c>
      <c r="D19" s="119">
        <f t="shared" si="5"/>
        <v>0.01</v>
      </c>
      <c r="E19" s="13">
        <f t="shared" si="6"/>
        <v>68839.031366219817</v>
      </c>
      <c r="F19" s="13">
        <f t="shared" si="7"/>
        <v>-84011.764346405966</v>
      </c>
      <c r="G19" s="13">
        <f t="shared" si="8"/>
        <v>6868730.4036417957</v>
      </c>
      <c r="I19" s="120">
        <f t="shared" si="0"/>
        <v>0.18060247988156006</v>
      </c>
      <c r="J19" s="120">
        <f t="shared" si="1"/>
        <v>0.81939752011843991</v>
      </c>
      <c r="L19" s="13">
        <f t="shared" si="2"/>
        <v>-15172.732980186149</v>
      </c>
      <c r="M19" s="13">
        <f t="shared" si="3"/>
        <v>-68839.031366219817</v>
      </c>
      <c r="O19" s="272"/>
    </row>
    <row r="20" spans="2:19" x14ac:dyDescent="0.2">
      <c r="B20" s="2">
        <v>10</v>
      </c>
      <c r="C20" s="13">
        <f t="shared" si="4"/>
        <v>6868730.4036417957</v>
      </c>
      <c r="D20" s="119">
        <f t="shared" si="5"/>
        <v>0.01</v>
      </c>
      <c r="E20" s="13">
        <f t="shared" si="6"/>
        <v>68687.304036417961</v>
      </c>
      <c r="F20" s="13">
        <f t="shared" si="7"/>
        <v>-84011.764346405966</v>
      </c>
      <c r="G20" s="13">
        <f t="shared" si="8"/>
        <v>6853405.9433318079</v>
      </c>
      <c r="I20" s="120">
        <f t="shared" si="0"/>
        <v>0.18240850468037559</v>
      </c>
      <c r="J20" s="120">
        <f t="shared" si="1"/>
        <v>0.81759149531962438</v>
      </c>
      <c r="L20" s="13">
        <f t="shared" si="2"/>
        <v>-15324.460309988004</v>
      </c>
      <c r="M20" s="13">
        <f t="shared" si="3"/>
        <v>-68687.304036417961</v>
      </c>
      <c r="O20" s="272"/>
    </row>
    <row r="21" spans="2:19" x14ac:dyDescent="0.2">
      <c r="B21" s="2">
        <v>11</v>
      </c>
      <c r="C21" s="13">
        <f t="shared" si="4"/>
        <v>6853405.9433318079</v>
      </c>
      <c r="D21" s="119">
        <f t="shared" si="5"/>
        <v>0.01</v>
      </c>
      <c r="E21" s="13">
        <f t="shared" si="6"/>
        <v>68534.059433318078</v>
      </c>
      <c r="F21" s="13">
        <f t="shared" si="7"/>
        <v>-84011.764346405966</v>
      </c>
      <c r="G21" s="13">
        <f t="shared" si="8"/>
        <v>6837928.2384187197</v>
      </c>
      <c r="I21" s="120">
        <f t="shared" si="0"/>
        <v>0.1842325897271794</v>
      </c>
      <c r="J21" s="120">
        <f t="shared" si="1"/>
        <v>0.81576741027282063</v>
      </c>
      <c r="L21" s="13">
        <f t="shared" si="2"/>
        <v>-15477.704913087888</v>
      </c>
      <c r="M21" s="13">
        <f t="shared" si="3"/>
        <v>-68534.059433318078</v>
      </c>
      <c r="O21" s="272"/>
    </row>
    <row r="22" spans="2:19" x14ac:dyDescent="0.2">
      <c r="B22" s="2">
        <v>12</v>
      </c>
      <c r="C22" s="13">
        <f t="shared" si="4"/>
        <v>6837928.2384187197</v>
      </c>
      <c r="D22" s="119">
        <f t="shared" si="5"/>
        <v>0.01</v>
      </c>
      <c r="E22" s="13">
        <f t="shared" si="6"/>
        <v>68379.282384187201</v>
      </c>
      <c r="F22" s="13">
        <f t="shared" si="7"/>
        <v>-84011.764346405966</v>
      </c>
      <c r="G22" s="13">
        <f t="shared" si="8"/>
        <v>6822295.7564565009</v>
      </c>
      <c r="I22" s="120">
        <f t="shared" si="0"/>
        <v>0.18607491562445116</v>
      </c>
      <c r="J22" s="120">
        <f t="shared" si="1"/>
        <v>0.81392508437554889</v>
      </c>
      <c r="L22" s="13">
        <f t="shared" si="2"/>
        <v>-15632.481962218764</v>
      </c>
      <c r="M22" s="13">
        <f t="shared" si="3"/>
        <v>-68379.282384187201</v>
      </c>
      <c r="O22" s="272"/>
      <c r="R22" s="129">
        <f>SUM(L11:L22)</f>
        <v>-177704.2435434995</v>
      </c>
      <c r="S22" s="129">
        <f>SUM(M11:M22)</f>
        <v>-830436.92861337215</v>
      </c>
    </row>
    <row r="23" spans="2:19" x14ac:dyDescent="0.2">
      <c r="B23" s="2">
        <v>13</v>
      </c>
      <c r="C23" s="13">
        <f t="shared" si="4"/>
        <v>6822295.7564565009</v>
      </c>
      <c r="D23" s="119">
        <f t="shared" si="5"/>
        <v>0.01</v>
      </c>
      <c r="E23" s="13">
        <f t="shared" si="6"/>
        <v>68222.957564565004</v>
      </c>
      <c r="F23" s="13">
        <f t="shared" si="7"/>
        <v>-84011.764346405966</v>
      </c>
      <c r="G23" s="13">
        <f t="shared" si="8"/>
        <v>6806506.9496746603</v>
      </c>
      <c r="I23" s="120">
        <f t="shared" si="0"/>
        <v>0.18793566478069579</v>
      </c>
      <c r="J23" s="120">
        <f t="shared" si="1"/>
        <v>0.81206433521930421</v>
      </c>
      <c r="L23" s="13">
        <f t="shared" si="2"/>
        <v>-15788.806781840962</v>
      </c>
      <c r="M23" s="13">
        <f t="shared" si="3"/>
        <v>-68222.957564565004</v>
      </c>
      <c r="O23" s="272"/>
    </row>
    <row r="24" spans="2:19" x14ac:dyDescent="0.2">
      <c r="B24" s="2">
        <v>14</v>
      </c>
      <c r="C24" s="13">
        <f t="shared" si="4"/>
        <v>6806506.9496746603</v>
      </c>
      <c r="D24" s="119">
        <f t="shared" si="5"/>
        <v>0.01</v>
      </c>
      <c r="E24" s="13">
        <f t="shared" si="6"/>
        <v>68065.069496746612</v>
      </c>
      <c r="F24" s="13">
        <f t="shared" si="7"/>
        <v>-84011.764346405966</v>
      </c>
      <c r="G24" s="13">
        <f t="shared" si="8"/>
        <v>6790560.2548250007</v>
      </c>
      <c r="I24" s="120">
        <f t="shared" si="0"/>
        <v>0.18981502142850254</v>
      </c>
      <c r="J24" s="120">
        <f t="shared" si="1"/>
        <v>0.81018497857149741</v>
      </c>
      <c r="L24" s="13">
        <f t="shared" si="2"/>
        <v>-15946.694849659354</v>
      </c>
      <c r="M24" s="13">
        <f t="shared" si="3"/>
        <v>-68065.069496746612</v>
      </c>
      <c r="O24" s="272"/>
    </row>
    <row r="25" spans="2:19" x14ac:dyDescent="0.2">
      <c r="B25" s="2">
        <v>15</v>
      </c>
      <c r="C25" s="13">
        <f t="shared" si="4"/>
        <v>6790560.2548250007</v>
      </c>
      <c r="D25" s="119">
        <f t="shared" si="5"/>
        <v>0.01</v>
      </c>
      <c r="E25" s="13">
        <f t="shared" si="6"/>
        <v>67905.602548250012</v>
      </c>
      <c r="F25" s="13">
        <f t="shared" si="7"/>
        <v>-84011.764346405966</v>
      </c>
      <c r="G25" s="13">
        <f t="shared" si="8"/>
        <v>6774454.0930268448</v>
      </c>
      <c r="I25" s="120">
        <f t="shared" si="0"/>
        <v>0.19171317164278764</v>
      </c>
      <c r="J25" s="120">
        <f t="shared" si="1"/>
        <v>0.80828682835721233</v>
      </c>
      <c r="L25" s="13">
        <f t="shared" si="2"/>
        <v>-16106.161798155954</v>
      </c>
      <c r="M25" s="13">
        <f t="shared" si="3"/>
        <v>-67905.602548250012</v>
      </c>
      <c r="O25" s="272"/>
    </row>
    <row r="26" spans="2:19" x14ac:dyDescent="0.2">
      <c r="B26" s="2">
        <v>16</v>
      </c>
      <c r="C26" s="13">
        <f t="shared" si="4"/>
        <v>6774454.0930268448</v>
      </c>
      <c r="D26" s="119">
        <f t="shared" si="5"/>
        <v>0.01</v>
      </c>
      <c r="E26" s="13">
        <f t="shared" si="6"/>
        <v>67744.540930268442</v>
      </c>
      <c r="F26" s="13">
        <f t="shared" si="7"/>
        <v>-84011.764346405966</v>
      </c>
      <c r="G26" s="13">
        <f t="shared" si="8"/>
        <v>6758186.8696107073</v>
      </c>
      <c r="I26" s="120">
        <f t="shared" si="0"/>
        <v>0.19363030335921563</v>
      </c>
      <c r="J26" s="120">
        <f t="shared" si="1"/>
        <v>0.80636969664078439</v>
      </c>
      <c r="L26" s="13">
        <f t="shared" si="2"/>
        <v>-16267.223416137524</v>
      </c>
      <c r="M26" s="13">
        <f t="shared" si="3"/>
        <v>-67744.540930268442</v>
      </c>
      <c r="O26" s="272"/>
    </row>
    <row r="27" spans="2:19" x14ac:dyDescent="0.2">
      <c r="B27" s="2">
        <v>17</v>
      </c>
      <c r="C27" s="13">
        <f t="shared" si="4"/>
        <v>6758186.8696107073</v>
      </c>
      <c r="D27" s="119">
        <f t="shared" si="5"/>
        <v>0.01</v>
      </c>
      <c r="E27" s="13">
        <f t="shared" si="6"/>
        <v>67581.868696107078</v>
      </c>
      <c r="F27" s="13">
        <f t="shared" si="7"/>
        <v>-84011.764346405966</v>
      </c>
      <c r="G27" s="13">
        <f t="shared" si="8"/>
        <v>6741756.9739604089</v>
      </c>
      <c r="I27" s="120">
        <f t="shared" si="0"/>
        <v>0.19556660639280765</v>
      </c>
      <c r="J27" s="120">
        <f t="shared" si="1"/>
        <v>0.80443339360719235</v>
      </c>
      <c r="L27" s="13">
        <f t="shared" si="2"/>
        <v>-16429.895650298888</v>
      </c>
      <c r="M27" s="13">
        <f t="shared" si="3"/>
        <v>-67581.868696107078</v>
      </c>
      <c r="O27" s="272"/>
    </row>
    <row r="28" spans="2:19" x14ac:dyDescent="0.2">
      <c r="B28" s="2">
        <v>18</v>
      </c>
      <c r="C28" s="13">
        <f t="shared" si="4"/>
        <v>6741756.9739604089</v>
      </c>
      <c r="D28" s="119">
        <f t="shared" si="5"/>
        <v>0.01</v>
      </c>
      <c r="E28" s="13">
        <f t="shared" si="6"/>
        <v>67417.569739604092</v>
      </c>
      <c r="F28" s="13">
        <f t="shared" si="7"/>
        <v>-84011.764346405966</v>
      </c>
      <c r="G28" s="13">
        <f t="shared" si="8"/>
        <v>6725162.7793536074</v>
      </c>
      <c r="I28" s="120">
        <f t="shared" si="0"/>
        <v>0.1975222724567357</v>
      </c>
      <c r="J28" s="120">
        <f t="shared" si="1"/>
        <v>0.8024777275432643</v>
      </c>
      <c r="L28" s="13">
        <f t="shared" si="2"/>
        <v>-16594.194606801873</v>
      </c>
      <c r="M28" s="13">
        <f t="shared" si="3"/>
        <v>-67417.569739604092</v>
      </c>
      <c r="O28" s="272"/>
    </row>
    <row r="29" spans="2:19" x14ac:dyDescent="0.2">
      <c r="B29" s="2">
        <v>19</v>
      </c>
      <c r="C29" s="13">
        <f t="shared" si="4"/>
        <v>6725162.7793536074</v>
      </c>
      <c r="D29" s="119">
        <f t="shared" si="5"/>
        <v>0.01</v>
      </c>
      <c r="E29" s="13">
        <f t="shared" si="6"/>
        <v>67251.62779353607</v>
      </c>
      <c r="F29" s="13">
        <f t="shared" si="7"/>
        <v>-84011.764346405966</v>
      </c>
      <c r="G29" s="13">
        <f t="shared" si="8"/>
        <v>6708402.6428007381</v>
      </c>
      <c r="I29" s="120">
        <f t="shared" si="0"/>
        <v>0.19949749518130308</v>
      </c>
      <c r="J29" s="120">
        <f t="shared" si="1"/>
        <v>0.80050250481869689</v>
      </c>
      <c r="L29" s="13">
        <f t="shared" si="2"/>
        <v>-16760.136552869895</v>
      </c>
      <c r="M29" s="13">
        <f t="shared" si="3"/>
        <v>-67251.62779353607</v>
      </c>
      <c r="O29" s="272"/>
    </row>
    <row r="30" spans="2:19" x14ac:dyDescent="0.2">
      <c r="B30" s="2">
        <v>20</v>
      </c>
      <c r="C30" s="13">
        <f t="shared" si="4"/>
        <v>6708402.6428007381</v>
      </c>
      <c r="D30" s="119">
        <f t="shared" si="5"/>
        <v>0.01</v>
      </c>
      <c r="E30" s="13">
        <f t="shared" si="6"/>
        <v>67084.026428007375</v>
      </c>
      <c r="F30" s="13">
        <f t="shared" si="7"/>
        <v>-84011.764346405966</v>
      </c>
      <c r="G30" s="13">
        <f t="shared" si="8"/>
        <v>6691474.9048823398</v>
      </c>
      <c r="I30" s="120">
        <f t="shared" si="0"/>
        <v>0.20149247013311608</v>
      </c>
      <c r="J30" s="120">
        <f t="shared" si="1"/>
        <v>0.79850752986688389</v>
      </c>
      <c r="L30" s="13">
        <f t="shared" si="2"/>
        <v>-16927.73791839859</v>
      </c>
      <c r="M30" s="13">
        <f t="shared" si="3"/>
        <v>-67084.026428007375</v>
      </c>
      <c r="O30" s="272"/>
    </row>
    <row r="31" spans="2:19" x14ac:dyDescent="0.2">
      <c r="B31" s="2">
        <v>21</v>
      </c>
      <c r="C31" s="13">
        <f t="shared" si="4"/>
        <v>6691474.9048823398</v>
      </c>
      <c r="D31" s="119">
        <f t="shared" si="5"/>
        <v>0.01</v>
      </c>
      <c r="E31" s="13">
        <f t="shared" si="6"/>
        <v>66914.749048823403</v>
      </c>
      <c r="F31" s="13">
        <f t="shared" si="7"/>
        <v>-84011.764346405966</v>
      </c>
      <c r="G31" s="13">
        <f t="shared" si="8"/>
        <v>6674377.8895847574</v>
      </c>
      <c r="I31" s="120">
        <f t="shared" si="0"/>
        <v>0.20350739483444708</v>
      </c>
      <c r="J31" s="120">
        <f t="shared" si="1"/>
        <v>0.79649260516555298</v>
      </c>
      <c r="L31" s="13">
        <f t="shared" si="2"/>
        <v>-17097.015297582562</v>
      </c>
      <c r="M31" s="13">
        <f t="shared" si="3"/>
        <v>-66914.749048823403</v>
      </c>
      <c r="O31" s="272"/>
    </row>
    <row r="32" spans="2:19" x14ac:dyDescent="0.2">
      <c r="B32" s="2">
        <v>22</v>
      </c>
      <c r="C32" s="13">
        <f t="shared" si="4"/>
        <v>6674377.8895847574</v>
      </c>
      <c r="D32" s="119">
        <f t="shared" si="5"/>
        <v>0.01</v>
      </c>
      <c r="E32" s="13">
        <f t="shared" si="6"/>
        <v>66743.778895847572</v>
      </c>
      <c r="F32" s="13">
        <f t="shared" si="7"/>
        <v>-84011.764346405966</v>
      </c>
      <c r="G32" s="13">
        <f t="shared" si="8"/>
        <v>6657109.904134199</v>
      </c>
      <c r="I32" s="120">
        <f t="shared" si="0"/>
        <v>0.20554246878279162</v>
      </c>
      <c r="J32" s="120">
        <f t="shared" si="1"/>
        <v>0.79445753121720841</v>
      </c>
      <c r="L32" s="13">
        <f t="shared" si="2"/>
        <v>-17267.985450558393</v>
      </c>
      <c r="M32" s="13">
        <f t="shared" si="3"/>
        <v>-66743.778895847572</v>
      </c>
    </row>
    <row r="33" spans="2:19" x14ac:dyDescent="0.2">
      <c r="B33" s="2">
        <v>23</v>
      </c>
      <c r="C33" s="13">
        <f t="shared" si="4"/>
        <v>6657109.904134199</v>
      </c>
      <c r="D33" s="119">
        <f t="shared" si="5"/>
        <v>0.01</v>
      </c>
      <c r="E33" s="13">
        <f t="shared" si="6"/>
        <v>66571.099041341993</v>
      </c>
      <c r="F33" s="13">
        <f t="shared" si="7"/>
        <v>-84011.764346405966</v>
      </c>
      <c r="G33" s="13">
        <f t="shared" si="8"/>
        <v>6639669.238829135</v>
      </c>
      <c r="I33" s="120">
        <f t="shared" si="0"/>
        <v>0.20759789347061947</v>
      </c>
      <c r="J33" s="120">
        <f t="shared" si="1"/>
        <v>0.79240210652938048</v>
      </c>
      <c r="L33" s="13">
        <f t="shared" si="2"/>
        <v>-17440.665305063972</v>
      </c>
      <c r="M33" s="13">
        <f t="shared" si="3"/>
        <v>-66571.099041341993</v>
      </c>
    </row>
    <row r="34" spans="2:19" x14ac:dyDescent="0.2">
      <c r="B34" s="2">
        <v>24</v>
      </c>
      <c r="C34" s="13">
        <f t="shared" si="4"/>
        <v>6639669.238829135</v>
      </c>
      <c r="D34" s="119">
        <f t="shared" si="5"/>
        <v>0.01</v>
      </c>
      <c r="E34" s="13">
        <f t="shared" si="6"/>
        <v>66396.692388291354</v>
      </c>
      <c r="F34" s="13">
        <f t="shared" si="7"/>
        <v>-84011.764346405966</v>
      </c>
      <c r="G34" s="13">
        <f t="shared" si="8"/>
        <v>6622054.1668710206</v>
      </c>
      <c r="I34" s="120">
        <f t="shared" si="0"/>
        <v>0.20967387240532565</v>
      </c>
      <c r="J34" s="120">
        <f t="shared" si="1"/>
        <v>0.79032612759467435</v>
      </c>
      <c r="L34" s="13">
        <f t="shared" si="2"/>
        <v>-17615.071958114611</v>
      </c>
      <c r="M34" s="13">
        <f t="shared" si="3"/>
        <v>-66396.692388291354</v>
      </c>
      <c r="R34" s="129">
        <f t="shared" ref="R34" si="9">SUM(L23:L34)</f>
        <v>-200241.58958548261</v>
      </c>
      <c r="S34" s="129">
        <f>SUM(M23:M34)</f>
        <v>-807899.58257138904</v>
      </c>
    </row>
    <row r="35" spans="2:19" x14ac:dyDescent="0.2">
      <c r="B35" s="2">
        <v>25</v>
      </c>
      <c r="C35" s="13">
        <f t="shared" si="4"/>
        <v>6622054.1668710206</v>
      </c>
      <c r="D35" s="119">
        <f t="shared" si="5"/>
        <v>0.01</v>
      </c>
      <c r="E35" s="13">
        <f t="shared" si="6"/>
        <v>66220.541668710212</v>
      </c>
      <c r="F35" s="13">
        <f t="shared" si="7"/>
        <v>-84011.764346405966</v>
      </c>
      <c r="G35" s="13">
        <f t="shared" si="8"/>
        <v>6604262.944193325</v>
      </c>
      <c r="I35" s="120">
        <f t="shared" si="0"/>
        <v>0.21177061112937887</v>
      </c>
      <c r="J35" s="120">
        <f t="shared" si="1"/>
        <v>0.78822938887062111</v>
      </c>
      <c r="L35" s="13">
        <f t="shared" si="2"/>
        <v>-17791.222677695754</v>
      </c>
      <c r="M35" s="13">
        <f t="shared" si="3"/>
        <v>-66220.541668710212</v>
      </c>
    </row>
    <row r="36" spans="2:19" x14ac:dyDescent="0.2">
      <c r="B36" s="2">
        <v>26</v>
      </c>
      <c r="C36" s="13">
        <f t="shared" si="4"/>
        <v>6604262.944193325</v>
      </c>
      <c r="D36" s="119">
        <f t="shared" si="5"/>
        <v>0.01</v>
      </c>
      <c r="E36" s="13">
        <f t="shared" si="6"/>
        <v>66042.629441933255</v>
      </c>
      <c r="F36" s="13">
        <f t="shared" si="7"/>
        <v>-84011.764346405966</v>
      </c>
      <c r="G36" s="13">
        <f t="shared" si="8"/>
        <v>6586293.8092888528</v>
      </c>
      <c r="I36" s="120">
        <f t="shared" si="0"/>
        <v>0.21388831724067264</v>
      </c>
      <c r="J36" s="120">
        <f t="shared" si="1"/>
        <v>0.78611168275932741</v>
      </c>
      <c r="L36" s="13">
        <f t="shared" si="2"/>
        <v>-17969.13490447271</v>
      </c>
      <c r="M36" s="13">
        <f t="shared" si="3"/>
        <v>-66042.629441933255</v>
      </c>
    </row>
    <row r="37" spans="2:19" x14ac:dyDescent="0.2">
      <c r="B37" s="2">
        <v>27</v>
      </c>
      <c r="C37" s="13">
        <f t="shared" si="4"/>
        <v>6586293.8092888528</v>
      </c>
      <c r="D37" s="119">
        <f t="shared" si="5"/>
        <v>0.01</v>
      </c>
      <c r="E37" s="13">
        <f t="shared" si="6"/>
        <v>65862.938092888537</v>
      </c>
      <c r="F37" s="13">
        <f t="shared" si="7"/>
        <v>-84011.764346405966</v>
      </c>
      <c r="G37" s="13">
        <f t="shared" si="8"/>
        <v>6568144.9830353353</v>
      </c>
      <c r="I37" s="120">
        <f t="shared" si="0"/>
        <v>0.21602720041307927</v>
      </c>
      <c r="J37" s="120">
        <f t="shared" si="1"/>
        <v>0.78397279958692068</v>
      </c>
      <c r="L37" s="13">
        <f t="shared" si="2"/>
        <v>-18148.826253517429</v>
      </c>
      <c r="M37" s="13">
        <f t="shared" si="3"/>
        <v>-65862.938092888537</v>
      </c>
    </row>
    <row r="38" spans="2:19" x14ac:dyDescent="0.2">
      <c r="B38" s="2">
        <v>28</v>
      </c>
      <c r="C38" s="13">
        <f t="shared" si="4"/>
        <v>6568144.9830353353</v>
      </c>
      <c r="D38" s="119">
        <f t="shared" si="5"/>
        <v>0.01</v>
      </c>
      <c r="E38" s="13">
        <f t="shared" si="6"/>
        <v>65681.449830353347</v>
      </c>
      <c r="F38" s="13">
        <f t="shared" si="7"/>
        <v>-84011.764346405966</v>
      </c>
      <c r="G38" s="13">
        <f t="shared" si="8"/>
        <v>6549814.6685192827</v>
      </c>
      <c r="I38" s="120">
        <f t="shared" si="0"/>
        <v>0.21818747241721023</v>
      </c>
      <c r="J38" s="120">
        <f t="shared" si="1"/>
        <v>0.78181252758278974</v>
      </c>
      <c r="L38" s="13">
        <f t="shared" si="2"/>
        <v>-18330.314516052618</v>
      </c>
      <c r="M38" s="13">
        <f t="shared" si="3"/>
        <v>-65681.449830353347</v>
      </c>
    </row>
    <row r="39" spans="2:19" x14ac:dyDescent="0.2">
      <c r="B39" s="2">
        <v>29</v>
      </c>
      <c r="C39" s="13">
        <f t="shared" si="4"/>
        <v>6549814.6685192827</v>
      </c>
      <c r="D39" s="119">
        <f t="shared" si="5"/>
        <v>0.01</v>
      </c>
      <c r="E39" s="13">
        <f t="shared" si="6"/>
        <v>65498.146685192827</v>
      </c>
      <c r="F39" s="13">
        <f t="shared" si="7"/>
        <v>-84011.764346405966</v>
      </c>
      <c r="G39" s="13">
        <f t="shared" si="8"/>
        <v>6531301.0508580692</v>
      </c>
      <c r="I39" s="120">
        <f t="shared" si="0"/>
        <v>0.22036934714138226</v>
      </c>
      <c r="J39" s="120">
        <f t="shared" si="1"/>
        <v>0.77963065285861777</v>
      </c>
      <c r="L39" s="13">
        <f t="shared" si="2"/>
        <v>-18513.617661213138</v>
      </c>
      <c r="M39" s="13">
        <f t="shared" si="3"/>
        <v>-65498.146685192827</v>
      </c>
    </row>
    <row r="40" spans="2:19" x14ac:dyDescent="0.2">
      <c r="B40" s="2">
        <v>30</v>
      </c>
      <c r="C40" s="13">
        <f t="shared" si="4"/>
        <v>6531301.0508580692</v>
      </c>
      <c r="D40" s="119">
        <f t="shared" si="5"/>
        <v>0.01</v>
      </c>
      <c r="E40" s="13">
        <f t="shared" si="6"/>
        <v>65313.010508580694</v>
      </c>
      <c r="F40" s="13">
        <f t="shared" si="7"/>
        <v>-84011.764346405966</v>
      </c>
      <c r="G40" s="13">
        <f t="shared" si="8"/>
        <v>6512602.2970202444</v>
      </c>
      <c r="I40" s="120">
        <f t="shared" si="0"/>
        <v>0.22257304061279612</v>
      </c>
      <c r="J40" s="120">
        <f t="shared" si="1"/>
        <v>0.77742695938720385</v>
      </c>
      <c r="L40" s="13">
        <f t="shared" si="2"/>
        <v>-18698.753837825272</v>
      </c>
      <c r="M40" s="13">
        <f t="shared" si="3"/>
        <v>-65313.010508580694</v>
      </c>
    </row>
    <row r="41" spans="2:19" x14ac:dyDescent="0.2">
      <c r="B41" s="2">
        <v>31</v>
      </c>
      <c r="C41" s="13">
        <f t="shared" si="4"/>
        <v>6512602.2970202444</v>
      </c>
      <c r="D41" s="119">
        <f t="shared" si="5"/>
        <v>0.01</v>
      </c>
      <c r="E41" s="13">
        <f t="shared" si="6"/>
        <v>65126.022970202444</v>
      </c>
      <c r="F41" s="13">
        <f t="shared" si="7"/>
        <v>-84011.764346405966</v>
      </c>
      <c r="G41" s="13">
        <f t="shared" si="8"/>
        <v>6493716.5556440409</v>
      </c>
      <c r="I41" s="120">
        <f t="shared" si="0"/>
        <v>0.22479877101892404</v>
      </c>
      <c r="J41" s="120">
        <f t="shared" si="1"/>
        <v>0.77520122898107591</v>
      </c>
      <c r="L41" s="13">
        <f t="shared" si="2"/>
        <v>-18885.741376203521</v>
      </c>
      <c r="M41" s="13">
        <f t="shared" si="3"/>
        <v>-65126.022970202444</v>
      </c>
    </row>
    <row r="42" spans="2:19" x14ac:dyDescent="0.2">
      <c r="B42" s="2">
        <v>32</v>
      </c>
      <c r="C42" s="13">
        <f t="shared" si="4"/>
        <v>6493716.5556440409</v>
      </c>
      <c r="D42" s="119">
        <f t="shared" si="5"/>
        <v>0.01</v>
      </c>
      <c r="E42" s="13">
        <f t="shared" si="6"/>
        <v>64937.165556440414</v>
      </c>
      <c r="F42" s="13">
        <f t="shared" si="7"/>
        <v>-84011.764346405966</v>
      </c>
      <c r="G42" s="13">
        <f t="shared" si="8"/>
        <v>6474641.9568540752</v>
      </c>
      <c r="I42" s="120">
        <f t="shared" si="0"/>
        <v>0.22704675872911323</v>
      </c>
      <c r="J42" s="120">
        <f t="shared" si="1"/>
        <v>0.77295324127088683</v>
      </c>
      <c r="L42" s="13">
        <f t="shared" si="2"/>
        <v>-19074.598789965552</v>
      </c>
      <c r="M42" s="13">
        <f t="shared" si="3"/>
        <v>-64937.165556440414</v>
      </c>
    </row>
    <row r="43" spans="2:19" x14ac:dyDescent="0.2">
      <c r="B43" s="2">
        <v>33</v>
      </c>
      <c r="C43" s="13">
        <f t="shared" si="4"/>
        <v>6474641.9568540752</v>
      </c>
      <c r="D43" s="119">
        <f t="shared" si="5"/>
        <v>0.01</v>
      </c>
      <c r="E43" s="13">
        <f t="shared" si="6"/>
        <v>64746.419568540754</v>
      </c>
      <c r="F43" s="13">
        <f t="shared" si="7"/>
        <v>-84011.764346405966</v>
      </c>
      <c r="G43" s="13">
        <f t="shared" si="8"/>
        <v>6455376.6120762099</v>
      </c>
      <c r="I43" s="120">
        <f t="shared" si="0"/>
        <v>0.22931722631640442</v>
      </c>
      <c r="J43" s="120">
        <f t="shared" si="1"/>
        <v>0.77068277368359561</v>
      </c>
      <c r="L43" s="13">
        <f t="shared" si="2"/>
        <v>-19265.344777865212</v>
      </c>
      <c r="M43" s="13">
        <f t="shared" si="3"/>
        <v>-64746.419568540754</v>
      </c>
    </row>
    <row r="44" spans="2:19" x14ac:dyDescent="0.2">
      <c r="B44" s="2">
        <v>34</v>
      </c>
      <c r="C44" s="13">
        <f t="shared" si="4"/>
        <v>6455376.6120762099</v>
      </c>
      <c r="D44" s="119">
        <f t="shared" si="5"/>
        <v>0.01</v>
      </c>
      <c r="E44" s="13">
        <f t="shared" si="6"/>
        <v>64553.766120762099</v>
      </c>
      <c r="F44" s="13">
        <f t="shared" si="7"/>
        <v>-84011.764346405966</v>
      </c>
      <c r="G44" s="13">
        <f t="shared" si="8"/>
        <v>6435918.6138505656</v>
      </c>
      <c r="I44" s="120">
        <f t="shared" si="0"/>
        <v>0.2316103985795685</v>
      </c>
      <c r="J44" s="120">
        <f t="shared" si="1"/>
        <v>0.76838960142043156</v>
      </c>
      <c r="L44" s="13">
        <f t="shared" si="2"/>
        <v>-19457.998225643867</v>
      </c>
      <c r="M44" s="13">
        <f t="shared" si="3"/>
        <v>-64553.766120762099</v>
      </c>
    </row>
    <row r="45" spans="2:19" x14ac:dyDescent="0.2">
      <c r="B45" s="2">
        <v>35</v>
      </c>
      <c r="C45" s="13">
        <f t="shared" si="4"/>
        <v>6435918.6138505656</v>
      </c>
      <c r="D45" s="119">
        <f t="shared" si="5"/>
        <v>0.01</v>
      </c>
      <c r="E45" s="13">
        <f t="shared" si="6"/>
        <v>64359.186138505655</v>
      </c>
      <c r="F45" s="13">
        <f t="shared" si="7"/>
        <v>-84011.764346405966</v>
      </c>
      <c r="G45" s="13">
        <f t="shared" si="8"/>
        <v>6416266.0356426658</v>
      </c>
      <c r="I45" s="120">
        <f t="shared" si="0"/>
        <v>0.23392650256536424</v>
      </c>
      <c r="J45" s="120">
        <f t="shared" si="1"/>
        <v>0.76607349743463571</v>
      </c>
      <c r="L45" s="13">
        <f t="shared" si="2"/>
        <v>-19652.578207900311</v>
      </c>
      <c r="M45" s="13">
        <f t="shared" si="3"/>
        <v>-64359.186138505655</v>
      </c>
    </row>
    <row r="46" spans="2:19" x14ac:dyDescent="0.2">
      <c r="B46" s="2">
        <v>36</v>
      </c>
      <c r="C46" s="13">
        <f t="shared" si="4"/>
        <v>6416266.0356426658</v>
      </c>
      <c r="D46" s="119">
        <f t="shared" si="5"/>
        <v>0.01</v>
      </c>
      <c r="E46" s="13">
        <f t="shared" si="6"/>
        <v>64162.660356426662</v>
      </c>
      <c r="F46" s="13">
        <f t="shared" si="7"/>
        <v>-84011.764346405966</v>
      </c>
      <c r="G46" s="13">
        <f t="shared" si="8"/>
        <v>6396416.9316526866</v>
      </c>
      <c r="I46" s="120">
        <f t="shared" si="0"/>
        <v>0.23626576759101775</v>
      </c>
      <c r="J46" s="120">
        <f t="shared" si="1"/>
        <v>0.76373423240898219</v>
      </c>
      <c r="L46" s="13">
        <f t="shared" si="2"/>
        <v>-19849.103989979303</v>
      </c>
      <c r="M46" s="13">
        <f t="shared" si="3"/>
        <v>-64162.660356426662</v>
      </c>
      <c r="R46" s="129">
        <f t="shared" ref="R46:S46" si="10">SUM(L35:L46)</f>
        <v>-225637.23521833468</v>
      </c>
      <c r="S46" s="129">
        <f t="shared" si="10"/>
        <v>-782503.93693853694</v>
      </c>
    </row>
    <row r="47" spans="2:19" x14ac:dyDescent="0.2">
      <c r="B47" s="2">
        <v>37</v>
      </c>
      <c r="C47" s="13">
        <f t="shared" si="4"/>
        <v>6396416.9316526866</v>
      </c>
      <c r="D47" s="119">
        <f t="shared" si="5"/>
        <v>0.01</v>
      </c>
      <c r="E47" s="13">
        <f t="shared" si="6"/>
        <v>63964.169316526866</v>
      </c>
      <c r="F47" s="13">
        <f t="shared" si="7"/>
        <v>-84011.764346405966</v>
      </c>
      <c r="G47" s="13">
        <f t="shared" si="8"/>
        <v>6376369.3366228072</v>
      </c>
      <c r="I47" s="120">
        <f t="shared" si="0"/>
        <v>0.23862842526692796</v>
      </c>
      <c r="J47" s="120">
        <f t="shared" si="1"/>
        <v>0.76137157473307204</v>
      </c>
      <c r="L47" s="13">
        <f t="shared" si="2"/>
        <v>-20047.595029879099</v>
      </c>
      <c r="M47" s="13">
        <f t="shared" si="3"/>
        <v>-63964.169316526866</v>
      </c>
    </row>
    <row r="48" spans="2:19" x14ac:dyDescent="0.2">
      <c r="B48" s="2">
        <v>38</v>
      </c>
      <c r="C48" s="13">
        <f t="shared" si="4"/>
        <v>6376369.3366228072</v>
      </c>
      <c r="D48" s="119">
        <f t="shared" si="5"/>
        <v>0.01</v>
      </c>
      <c r="E48" s="13">
        <f t="shared" si="6"/>
        <v>63763.693366228072</v>
      </c>
      <c r="F48" s="13">
        <f t="shared" si="7"/>
        <v>-84011.764346405966</v>
      </c>
      <c r="G48" s="13">
        <f t="shared" si="8"/>
        <v>6356121.265642629</v>
      </c>
      <c r="I48" s="120">
        <f t="shared" si="0"/>
        <v>0.24101470951959728</v>
      </c>
      <c r="J48" s="120">
        <f t="shared" si="1"/>
        <v>0.75898529048040275</v>
      </c>
      <c r="L48" s="13">
        <f t="shared" si="2"/>
        <v>-20248.070980177894</v>
      </c>
      <c r="M48" s="13">
        <f t="shared" si="3"/>
        <v>-63763.693366228072</v>
      </c>
    </row>
    <row r="49" spans="2:19" x14ac:dyDescent="0.2">
      <c r="B49" s="2">
        <v>39</v>
      </c>
      <c r="C49" s="13">
        <f t="shared" si="4"/>
        <v>6356121.265642629</v>
      </c>
      <c r="D49" s="119">
        <f t="shared" si="5"/>
        <v>0.01</v>
      </c>
      <c r="E49" s="13">
        <f t="shared" si="6"/>
        <v>63561.212656426294</v>
      </c>
      <c r="F49" s="13">
        <f t="shared" si="7"/>
        <v>-84011.764346405966</v>
      </c>
      <c r="G49" s="13">
        <f t="shared" si="8"/>
        <v>6335670.7139526494</v>
      </c>
      <c r="I49" s="120">
        <f t="shared" si="0"/>
        <v>0.24342485661479324</v>
      </c>
      <c r="J49" s="120">
        <f t="shared" si="1"/>
        <v>0.75657514338520671</v>
      </c>
      <c r="L49" s="13">
        <f t="shared" si="2"/>
        <v>-20450.551689979671</v>
      </c>
      <c r="M49" s="13">
        <f t="shared" si="3"/>
        <v>-63561.212656426294</v>
      </c>
    </row>
    <row r="50" spans="2:19" x14ac:dyDescent="0.2">
      <c r="B50" s="2">
        <v>40</v>
      </c>
      <c r="C50" s="13">
        <f t="shared" si="4"/>
        <v>6335670.7139526494</v>
      </c>
      <c r="D50" s="119">
        <f t="shared" si="5"/>
        <v>0.01</v>
      </c>
      <c r="E50" s="13">
        <f t="shared" si="6"/>
        <v>63356.707139526494</v>
      </c>
      <c r="F50" s="13">
        <f t="shared" si="7"/>
        <v>-84011.764346405966</v>
      </c>
      <c r="G50" s="13">
        <f t="shared" si="8"/>
        <v>6315015.65674577</v>
      </c>
      <c r="I50" s="120">
        <f t="shared" si="0"/>
        <v>0.24585910518094123</v>
      </c>
      <c r="J50" s="120">
        <f t="shared" si="1"/>
        <v>0.75414089481905877</v>
      </c>
      <c r="L50" s="13">
        <f t="shared" si="2"/>
        <v>-20655.057206879472</v>
      </c>
      <c r="M50" s="13">
        <f t="shared" si="3"/>
        <v>-63356.707139526494</v>
      </c>
    </row>
    <row r="51" spans="2:19" x14ac:dyDescent="0.2">
      <c r="B51" s="2">
        <v>41</v>
      </c>
      <c r="C51" s="13">
        <f t="shared" si="4"/>
        <v>6315015.65674577</v>
      </c>
      <c r="D51" s="119">
        <f t="shared" si="5"/>
        <v>0.01</v>
      </c>
      <c r="E51" s="13">
        <f t="shared" si="6"/>
        <v>63150.1565674577</v>
      </c>
      <c r="F51" s="13">
        <f t="shared" si="7"/>
        <v>-84011.764346405966</v>
      </c>
      <c r="G51" s="13">
        <f t="shared" si="8"/>
        <v>6294154.0489668222</v>
      </c>
      <c r="I51" s="120">
        <f t="shared" si="0"/>
        <v>0.24831769623275063</v>
      </c>
      <c r="J51" s="120">
        <f t="shared" si="1"/>
        <v>0.75168230376724943</v>
      </c>
      <c r="L51" s="13">
        <f t="shared" si="2"/>
        <v>-20861.607778948266</v>
      </c>
      <c r="M51" s="13">
        <f t="shared" si="3"/>
        <v>-63150.1565674577</v>
      </c>
    </row>
    <row r="52" spans="2:19" x14ac:dyDescent="0.2">
      <c r="B52" s="2">
        <v>42</v>
      </c>
      <c r="C52" s="13">
        <f t="shared" si="4"/>
        <v>6294154.0489668222</v>
      </c>
      <c r="D52" s="119">
        <f t="shared" si="5"/>
        <v>0.01</v>
      </c>
      <c r="E52" s="13">
        <f t="shared" si="6"/>
        <v>62941.540489668223</v>
      </c>
      <c r="F52" s="13">
        <f t="shared" si="7"/>
        <v>-84011.764346405966</v>
      </c>
      <c r="G52" s="13">
        <f t="shared" si="8"/>
        <v>6273083.8251100844</v>
      </c>
      <c r="I52" s="120">
        <f t="shared" si="0"/>
        <v>0.25080087319507804</v>
      </c>
      <c r="J52" s="120">
        <f t="shared" si="1"/>
        <v>0.74919912680492196</v>
      </c>
      <c r="L52" s="13">
        <f t="shared" si="2"/>
        <v>-21070.223856737743</v>
      </c>
      <c r="M52" s="13">
        <f t="shared" si="3"/>
        <v>-62941.540489668223</v>
      </c>
    </row>
    <row r="53" spans="2:19" x14ac:dyDescent="0.2">
      <c r="B53" s="2">
        <v>43</v>
      </c>
      <c r="C53" s="13">
        <f t="shared" si="4"/>
        <v>6273083.8251100844</v>
      </c>
      <c r="D53" s="119">
        <f t="shared" si="5"/>
        <v>0.01</v>
      </c>
      <c r="E53" s="13">
        <f t="shared" si="6"/>
        <v>62730.838251100846</v>
      </c>
      <c r="F53" s="13">
        <f t="shared" si="7"/>
        <v>-84011.764346405966</v>
      </c>
      <c r="G53" s="13">
        <f t="shared" si="8"/>
        <v>6251802.8990147794</v>
      </c>
      <c r="I53" s="120">
        <f t="shared" si="0"/>
        <v>0.25330888192702883</v>
      </c>
      <c r="J53" s="120">
        <f t="shared" si="1"/>
        <v>0.74669111807297117</v>
      </c>
      <c r="L53" s="13">
        <f t="shared" si="2"/>
        <v>-21280.92609530512</v>
      </c>
      <c r="M53" s="13">
        <f t="shared" si="3"/>
        <v>-62730.838251100846</v>
      </c>
    </row>
    <row r="54" spans="2:19" x14ac:dyDescent="0.2">
      <c r="B54" s="2">
        <v>44</v>
      </c>
      <c r="C54" s="13">
        <f t="shared" si="4"/>
        <v>6251802.8990147794</v>
      </c>
      <c r="D54" s="119">
        <f t="shared" si="5"/>
        <v>0.01</v>
      </c>
      <c r="E54" s="13">
        <f t="shared" si="6"/>
        <v>62518.028990147795</v>
      </c>
      <c r="F54" s="13">
        <f t="shared" si="7"/>
        <v>-84011.764346405966</v>
      </c>
      <c r="G54" s="13">
        <f t="shared" si="8"/>
        <v>6230309.1636585211</v>
      </c>
      <c r="I54" s="120">
        <f t="shared" si="0"/>
        <v>0.25584197074629911</v>
      </c>
      <c r="J54" s="120">
        <f t="shared" si="1"/>
        <v>0.74415802925370089</v>
      </c>
      <c r="L54" s="13">
        <f t="shared" si="2"/>
        <v>-21493.73535625817</v>
      </c>
      <c r="M54" s="13">
        <f t="shared" si="3"/>
        <v>-62518.028990147795</v>
      </c>
    </row>
    <row r="55" spans="2:19" x14ac:dyDescent="0.2">
      <c r="B55" s="2">
        <v>45</v>
      </c>
      <c r="C55" s="13">
        <f t="shared" si="4"/>
        <v>6230309.1636585211</v>
      </c>
      <c r="D55" s="119">
        <f t="shared" si="5"/>
        <v>0.01</v>
      </c>
      <c r="E55" s="13">
        <f t="shared" si="6"/>
        <v>62303.09163658521</v>
      </c>
      <c r="F55" s="13">
        <f t="shared" si="7"/>
        <v>-84011.764346405966</v>
      </c>
      <c r="G55" s="13">
        <f t="shared" si="8"/>
        <v>6208600.4909487003</v>
      </c>
      <c r="I55" s="120">
        <f t="shared" si="0"/>
        <v>0.25840039045376217</v>
      </c>
      <c r="J55" s="120">
        <f t="shared" si="1"/>
        <v>0.74159960954623783</v>
      </c>
      <c r="L55" s="13">
        <f t="shared" si="2"/>
        <v>-21708.672709820756</v>
      </c>
      <c r="M55" s="13">
        <f t="shared" si="3"/>
        <v>-62303.09163658521</v>
      </c>
    </row>
    <row r="56" spans="2:19" x14ac:dyDescent="0.2">
      <c r="B56" s="2">
        <v>46</v>
      </c>
      <c r="C56" s="13">
        <f t="shared" si="4"/>
        <v>6208600.4909487003</v>
      </c>
      <c r="D56" s="119">
        <f t="shared" si="5"/>
        <v>0.01</v>
      </c>
      <c r="E56" s="13">
        <f t="shared" si="6"/>
        <v>62086.004909487005</v>
      </c>
      <c r="F56" s="13">
        <f t="shared" si="7"/>
        <v>-84011.764346405966</v>
      </c>
      <c r="G56" s="13">
        <f t="shared" si="8"/>
        <v>6186674.7315117819</v>
      </c>
      <c r="I56" s="120">
        <f t="shared" si="0"/>
        <v>0.26098439435829973</v>
      </c>
      <c r="J56" s="120">
        <f t="shared" si="1"/>
        <v>0.73901560564170021</v>
      </c>
      <c r="L56" s="13">
        <f t="shared" si="2"/>
        <v>-21925.759436918961</v>
      </c>
      <c r="M56" s="13">
        <f t="shared" si="3"/>
        <v>-62086.004909487005</v>
      </c>
    </row>
    <row r="57" spans="2:19" x14ac:dyDescent="0.2">
      <c r="B57" s="2">
        <v>47</v>
      </c>
      <c r="C57" s="13">
        <f t="shared" si="4"/>
        <v>6186674.7315117819</v>
      </c>
      <c r="D57" s="119">
        <f t="shared" si="5"/>
        <v>0.01</v>
      </c>
      <c r="E57" s="13">
        <f t="shared" si="6"/>
        <v>61866.74731511782</v>
      </c>
      <c r="F57" s="13">
        <f t="shared" si="7"/>
        <v>-84011.764346405966</v>
      </c>
      <c r="G57" s="13">
        <f t="shared" si="8"/>
        <v>6164529.7144804941</v>
      </c>
      <c r="I57" s="120">
        <f t="shared" si="0"/>
        <v>0.26359423830188267</v>
      </c>
      <c r="J57" s="120">
        <f t="shared" si="1"/>
        <v>0.73640576169811733</v>
      </c>
      <c r="L57" s="13">
        <f t="shared" si="2"/>
        <v>-22145.017031288146</v>
      </c>
      <c r="M57" s="13">
        <f t="shared" si="3"/>
        <v>-61866.74731511782</v>
      </c>
    </row>
    <row r="58" spans="2:19" x14ac:dyDescent="0.2">
      <c r="B58" s="2">
        <v>48</v>
      </c>
      <c r="C58" s="13">
        <f t="shared" si="4"/>
        <v>6164529.7144804941</v>
      </c>
      <c r="D58" s="119">
        <f t="shared" si="5"/>
        <v>0.01</v>
      </c>
      <c r="E58" s="13">
        <f t="shared" si="6"/>
        <v>61645.297144804943</v>
      </c>
      <c r="F58" s="13">
        <f t="shared" si="7"/>
        <v>-84011.764346405966</v>
      </c>
      <c r="G58" s="13">
        <f t="shared" si="8"/>
        <v>6142163.2472788934</v>
      </c>
      <c r="I58" s="120">
        <f t="shared" si="0"/>
        <v>0.26623018068490145</v>
      </c>
      <c r="J58" s="120">
        <f t="shared" si="1"/>
        <v>0.73376981931509855</v>
      </c>
      <c r="L58" s="13">
        <f t="shared" si="2"/>
        <v>-22366.467201601023</v>
      </c>
      <c r="M58" s="13">
        <f t="shared" si="3"/>
        <v>-61645.297144804943</v>
      </c>
      <c r="R58" s="129">
        <f t="shared" ref="R58:S58" si="11">SUM(L47:L58)</f>
        <v>-254253.68437379433</v>
      </c>
      <c r="S58" s="129">
        <f t="shared" si="11"/>
        <v>-753887.48778307729</v>
      </c>
    </row>
    <row r="59" spans="2:19" x14ac:dyDescent="0.2">
      <c r="B59" s="2">
        <v>49</v>
      </c>
      <c r="C59" s="13">
        <f t="shared" si="4"/>
        <v>6142163.2472788934</v>
      </c>
      <c r="D59" s="119">
        <f t="shared" si="5"/>
        <v>0.01</v>
      </c>
      <c r="E59" s="13">
        <f t="shared" si="6"/>
        <v>61421.632472788937</v>
      </c>
      <c r="F59" s="13">
        <f t="shared" si="7"/>
        <v>-84011.764346405966</v>
      </c>
      <c r="G59" s="13">
        <f t="shared" si="8"/>
        <v>6119573.1154052764</v>
      </c>
      <c r="I59" s="120">
        <f t="shared" si="0"/>
        <v>0.26889248249175041</v>
      </c>
      <c r="J59" s="120">
        <f t="shared" si="1"/>
        <v>0.73110751750824954</v>
      </c>
      <c r="L59" s="13">
        <f t="shared" si="2"/>
        <v>-22590.131873617029</v>
      </c>
      <c r="M59" s="13">
        <f t="shared" si="3"/>
        <v>-61421.632472788937</v>
      </c>
    </row>
    <row r="60" spans="2:19" x14ac:dyDescent="0.2">
      <c r="B60" s="2">
        <v>50</v>
      </c>
      <c r="C60" s="13">
        <f t="shared" si="4"/>
        <v>6119573.1154052764</v>
      </c>
      <c r="D60" s="119">
        <f t="shared" si="5"/>
        <v>0.01</v>
      </c>
      <c r="E60" s="13">
        <f t="shared" si="6"/>
        <v>61195.731154052766</v>
      </c>
      <c r="F60" s="13">
        <f t="shared" si="7"/>
        <v>-84011.764346405966</v>
      </c>
      <c r="G60" s="13">
        <f t="shared" si="8"/>
        <v>6096757.0822129231</v>
      </c>
      <c r="I60" s="120">
        <f t="shared" si="0"/>
        <v>0.27158140731666791</v>
      </c>
      <c r="J60" s="120">
        <f t="shared" si="1"/>
        <v>0.72841859268333209</v>
      </c>
      <c r="L60" s="13">
        <f t="shared" si="2"/>
        <v>-22816.033192353199</v>
      </c>
      <c r="M60" s="13">
        <f t="shared" si="3"/>
        <v>-61195.731154052766</v>
      </c>
    </row>
    <row r="61" spans="2:19" x14ac:dyDescent="0.2">
      <c r="B61" s="2">
        <v>51</v>
      </c>
      <c r="C61" s="13">
        <f t="shared" si="4"/>
        <v>6096757.0822129231</v>
      </c>
      <c r="D61" s="119">
        <f t="shared" si="5"/>
        <v>0.01</v>
      </c>
      <c r="E61" s="13">
        <f t="shared" si="6"/>
        <v>60967.57082212923</v>
      </c>
      <c r="F61" s="13">
        <f t="shared" si="7"/>
        <v>-84011.764346405966</v>
      </c>
      <c r="G61" s="13">
        <f t="shared" si="8"/>
        <v>6073712.8886886463</v>
      </c>
      <c r="I61" s="120">
        <f t="shared" si="0"/>
        <v>0.27429722138983464</v>
      </c>
      <c r="J61" s="120">
        <f t="shared" si="1"/>
        <v>0.7257027786101653</v>
      </c>
      <c r="L61" s="13">
        <f t="shared" si="2"/>
        <v>-23044.193524276736</v>
      </c>
      <c r="M61" s="13">
        <f t="shared" si="3"/>
        <v>-60967.57082212923</v>
      </c>
    </row>
    <row r="62" spans="2:19" x14ac:dyDescent="0.2">
      <c r="B62" s="2">
        <v>52</v>
      </c>
      <c r="C62" s="13">
        <f t="shared" si="4"/>
        <v>6073712.8886886463</v>
      </c>
      <c r="D62" s="119">
        <f t="shared" si="5"/>
        <v>0.01</v>
      </c>
      <c r="E62" s="13">
        <f t="shared" si="6"/>
        <v>60737.128886886465</v>
      </c>
      <c r="F62" s="13">
        <f t="shared" si="7"/>
        <v>-84011.764346405966</v>
      </c>
      <c r="G62" s="13">
        <f t="shared" si="8"/>
        <v>6050438.2532291273</v>
      </c>
      <c r="I62" s="120">
        <f t="shared" si="0"/>
        <v>0.277040193603733</v>
      </c>
      <c r="J62" s="120">
        <f t="shared" si="1"/>
        <v>0.722959806396267</v>
      </c>
      <c r="L62" s="13">
        <f t="shared" si="2"/>
        <v>-23274.635459519501</v>
      </c>
      <c r="M62" s="13">
        <f t="shared" si="3"/>
        <v>-60737.128886886465</v>
      </c>
    </row>
    <row r="63" spans="2:19" x14ac:dyDescent="0.2">
      <c r="B63" s="2">
        <v>53</v>
      </c>
      <c r="C63" s="13">
        <f t="shared" si="4"/>
        <v>6050438.2532291273</v>
      </c>
      <c r="D63" s="119">
        <f t="shared" si="5"/>
        <v>0.01</v>
      </c>
      <c r="E63" s="13">
        <f t="shared" si="6"/>
        <v>60504.382532291274</v>
      </c>
      <c r="F63" s="13">
        <f t="shared" si="7"/>
        <v>-84011.764346405966</v>
      </c>
      <c r="G63" s="13">
        <f t="shared" si="8"/>
        <v>6026930.8714150125</v>
      </c>
      <c r="I63" s="120">
        <f t="shared" si="0"/>
        <v>0.27981059553977028</v>
      </c>
      <c r="J63" s="120">
        <f t="shared" si="1"/>
        <v>0.72018940446022972</v>
      </c>
      <c r="L63" s="13">
        <f t="shared" si="2"/>
        <v>-23507.381814114691</v>
      </c>
      <c r="M63" s="13">
        <f t="shared" si="3"/>
        <v>-60504.382532291274</v>
      </c>
    </row>
    <row r="64" spans="2:19" x14ac:dyDescent="0.2">
      <c r="B64" s="2">
        <v>54</v>
      </c>
      <c r="C64" s="13">
        <f t="shared" si="4"/>
        <v>6026930.8714150125</v>
      </c>
      <c r="D64" s="119">
        <f t="shared" si="5"/>
        <v>0.01</v>
      </c>
      <c r="E64" s="13">
        <f t="shared" si="6"/>
        <v>60269.308714150124</v>
      </c>
      <c r="F64" s="13">
        <f t="shared" si="7"/>
        <v>-84011.764346405966</v>
      </c>
      <c r="G64" s="13">
        <f t="shared" si="8"/>
        <v>6003188.4157827571</v>
      </c>
      <c r="I64" s="120">
        <f t="shared" si="0"/>
        <v>0.28260870149516798</v>
      </c>
      <c r="J64" s="120">
        <f t="shared" si="1"/>
        <v>0.71739129850483196</v>
      </c>
      <c r="L64" s="13">
        <f t="shared" si="2"/>
        <v>-23742.455632255842</v>
      </c>
      <c r="M64" s="13">
        <f t="shared" si="3"/>
        <v>-60269.308714150124</v>
      </c>
    </row>
    <row r="65" spans="2:19" x14ac:dyDescent="0.2">
      <c r="B65" s="2">
        <v>55</v>
      </c>
      <c r="C65" s="13">
        <f t="shared" si="4"/>
        <v>6003188.4157827571</v>
      </c>
      <c r="D65" s="119">
        <f t="shared" si="5"/>
        <v>0.01</v>
      </c>
      <c r="E65" s="13">
        <f t="shared" si="6"/>
        <v>60031.884157827575</v>
      </c>
      <c r="F65" s="13">
        <f t="shared" si="7"/>
        <v>-84011.764346405966</v>
      </c>
      <c r="G65" s="13">
        <f t="shared" si="8"/>
        <v>5979208.5355941784</v>
      </c>
      <c r="I65" s="120">
        <f t="shared" si="0"/>
        <v>0.28543478851011955</v>
      </c>
      <c r="J65" s="120">
        <f t="shared" si="1"/>
        <v>0.71456521148988039</v>
      </c>
      <c r="L65" s="13">
        <f t="shared" si="2"/>
        <v>-23979.880188578391</v>
      </c>
      <c r="M65" s="13">
        <f t="shared" si="3"/>
        <v>-60031.884157827575</v>
      </c>
    </row>
    <row r="66" spans="2:19" x14ac:dyDescent="0.2">
      <c r="B66" s="2">
        <v>56</v>
      </c>
      <c r="C66" s="13">
        <f t="shared" si="4"/>
        <v>5979208.5355941784</v>
      </c>
      <c r="D66" s="119">
        <f t="shared" si="5"/>
        <v>0.01</v>
      </c>
      <c r="E66" s="13">
        <f t="shared" si="6"/>
        <v>59792.085355941788</v>
      </c>
      <c r="F66" s="13">
        <f t="shared" si="7"/>
        <v>-84011.764346405966</v>
      </c>
      <c r="G66" s="13">
        <f t="shared" si="8"/>
        <v>5954988.8566037146</v>
      </c>
      <c r="I66" s="120">
        <f t="shared" si="0"/>
        <v>0.2882891363952208</v>
      </c>
      <c r="J66" s="120">
        <f t="shared" si="1"/>
        <v>0.7117108636047792</v>
      </c>
      <c r="L66" s="13">
        <f t="shared" si="2"/>
        <v>-24219.678990464177</v>
      </c>
      <c r="M66" s="13">
        <f t="shared" si="3"/>
        <v>-59792.085355941788</v>
      </c>
    </row>
    <row r="67" spans="2:19" x14ac:dyDescent="0.2">
      <c r="B67" s="2">
        <v>57</v>
      </c>
      <c r="C67" s="13">
        <f t="shared" si="4"/>
        <v>5954988.8566037146</v>
      </c>
      <c r="D67" s="119">
        <f t="shared" si="5"/>
        <v>0.01</v>
      </c>
      <c r="E67" s="13">
        <f t="shared" si="6"/>
        <v>59549.888566037145</v>
      </c>
      <c r="F67" s="13">
        <f t="shared" si="7"/>
        <v>-84011.764346405966</v>
      </c>
      <c r="G67" s="13">
        <f t="shared" si="8"/>
        <v>5930526.9808233455</v>
      </c>
      <c r="I67" s="120">
        <f t="shared" si="0"/>
        <v>0.291172027759173</v>
      </c>
      <c r="J67" s="120">
        <f t="shared" si="1"/>
        <v>0.70882797224082694</v>
      </c>
      <c r="L67" s="13">
        <f t="shared" si="2"/>
        <v>-24461.87578036882</v>
      </c>
      <c r="M67" s="13">
        <f t="shared" si="3"/>
        <v>-59549.888566037145</v>
      </c>
    </row>
    <row r="68" spans="2:19" x14ac:dyDescent="0.2">
      <c r="B68" s="2">
        <v>58</v>
      </c>
      <c r="C68" s="13">
        <f t="shared" si="4"/>
        <v>5930526.9808233455</v>
      </c>
      <c r="D68" s="119">
        <f t="shared" si="5"/>
        <v>0.01</v>
      </c>
      <c r="E68" s="13">
        <f t="shared" si="6"/>
        <v>59305.269808233454</v>
      </c>
      <c r="F68" s="13">
        <f t="shared" si="7"/>
        <v>-84011.764346405966</v>
      </c>
      <c r="G68" s="13">
        <f t="shared" si="8"/>
        <v>5905820.4862851733</v>
      </c>
      <c r="I68" s="120">
        <f t="shared" si="0"/>
        <v>0.29408374803676479</v>
      </c>
      <c r="J68" s="120">
        <f t="shared" si="1"/>
        <v>0.70591625196323515</v>
      </c>
      <c r="L68" s="13">
        <f t="shared" si="2"/>
        <v>-24706.494538172512</v>
      </c>
      <c r="M68" s="13">
        <f t="shared" si="3"/>
        <v>-59305.269808233454</v>
      </c>
    </row>
    <row r="69" spans="2:19" x14ac:dyDescent="0.2">
      <c r="B69" s="2">
        <v>59</v>
      </c>
      <c r="C69" s="13">
        <f t="shared" si="4"/>
        <v>5905820.4862851733</v>
      </c>
      <c r="D69" s="119">
        <f t="shared" si="5"/>
        <v>0.01</v>
      </c>
      <c r="E69" s="13">
        <f t="shared" si="6"/>
        <v>59058.204862851737</v>
      </c>
      <c r="F69" s="13">
        <f t="shared" si="7"/>
        <v>-84011.764346405966</v>
      </c>
      <c r="G69" s="13">
        <f t="shared" si="8"/>
        <v>5880866.9268016191</v>
      </c>
      <c r="I69" s="120">
        <f t="shared" si="0"/>
        <v>0.29702458551713234</v>
      </c>
      <c r="J69" s="120">
        <f t="shared" si="1"/>
        <v>0.70297541448286771</v>
      </c>
      <c r="L69" s="13">
        <f t="shared" si="2"/>
        <v>-24953.559483554229</v>
      </c>
      <c r="M69" s="13">
        <f t="shared" si="3"/>
        <v>-59058.204862851737</v>
      </c>
    </row>
    <row r="70" spans="2:19" x14ac:dyDescent="0.2">
      <c r="B70" s="2">
        <v>60</v>
      </c>
      <c r="C70" s="13">
        <f t="shared" si="4"/>
        <v>5880866.9268016191</v>
      </c>
      <c r="D70" s="119">
        <f t="shared" si="5"/>
        <v>0.01</v>
      </c>
      <c r="E70" s="13">
        <f t="shared" si="6"/>
        <v>58808.669268016194</v>
      </c>
      <c r="F70" s="13">
        <f t="shared" si="7"/>
        <v>-84011.764346405966</v>
      </c>
      <c r="G70" s="13">
        <f t="shared" si="8"/>
        <v>5855663.831723229</v>
      </c>
      <c r="I70" s="120">
        <f t="shared" si="0"/>
        <v>0.29999483137230365</v>
      </c>
      <c r="J70" s="120">
        <f t="shared" si="1"/>
        <v>0.70000516862769635</v>
      </c>
      <c r="L70" s="13">
        <f t="shared" si="2"/>
        <v>-25203.095078389772</v>
      </c>
      <c r="M70" s="13">
        <f t="shared" si="3"/>
        <v>-58808.669268016194</v>
      </c>
      <c r="R70" s="129">
        <f t="shared" ref="R70:S70" si="12">SUM(L59:L70)</f>
        <v>-286499.4155556648</v>
      </c>
      <c r="S70" s="129">
        <f t="shared" si="12"/>
        <v>-721641.75660120684</v>
      </c>
    </row>
    <row r="71" spans="2:19" x14ac:dyDescent="0.2">
      <c r="B71" s="2">
        <v>61</v>
      </c>
      <c r="C71" s="13">
        <f t="shared" si="4"/>
        <v>5855663.831723229</v>
      </c>
      <c r="D71" s="119">
        <f t="shared" si="5"/>
        <v>0.01</v>
      </c>
      <c r="E71" s="13">
        <f t="shared" si="6"/>
        <v>58556.638317232289</v>
      </c>
      <c r="F71" s="13">
        <f t="shared" si="7"/>
        <v>-84011.764346405966</v>
      </c>
      <c r="G71" s="13">
        <f t="shared" si="8"/>
        <v>5830208.7056940552</v>
      </c>
      <c r="I71" s="120">
        <f t="shared" si="0"/>
        <v>0.30299477968602678</v>
      </c>
      <c r="J71" s="120">
        <f t="shared" si="1"/>
        <v>0.69700522031397316</v>
      </c>
      <c r="L71" s="13">
        <f t="shared" si="2"/>
        <v>-25455.126029173676</v>
      </c>
      <c r="M71" s="13">
        <f t="shared" si="3"/>
        <v>-58556.638317232289</v>
      </c>
    </row>
    <row r="72" spans="2:19" x14ac:dyDescent="0.2">
      <c r="B72" s="2">
        <v>62</v>
      </c>
      <c r="C72" s="13">
        <f t="shared" si="4"/>
        <v>5830208.7056940552</v>
      </c>
      <c r="D72" s="119">
        <f t="shared" si="5"/>
        <v>0.01</v>
      </c>
      <c r="E72" s="13">
        <f t="shared" si="6"/>
        <v>58302.087056940552</v>
      </c>
      <c r="F72" s="13">
        <f t="shared" si="7"/>
        <v>-84011.764346405966</v>
      </c>
      <c r="G72" s="13">
        <f t="shared" si="8"/>
        <v>5804499.0284045897</v>
      </c>
      <c r="I72" s="120">
        <f t="shared" si="0"/>
        <v>0.30602472748288706</v>
      </c>
      <c r="J72" s="120">
        <f t="shared" si="1"/>
        <v>0.69397527251711288</v>
      </c>
      <c r="L72" s="13">
        <f t="shared" si="2"/>
        <v>-25709.677289465413</v>
      </c>
      <c r="M72" s="13">
        <f t="shared" si="3"/>
        <v>-58302.087056940552</v>
      </c>
    </row>
    <row r="73" spans="2:19" x14ac:dyDescent="0.2">
      <c r="B73" s="2">
        <v>63</v>
      </c>
      <c r="C73" s="13">
        <f t="shared" si="4"/>
        <v>5804499.0284045897</v>
      </c>
      <c r="D73" s="119">
        <f t="shared" si="5"/>
        <v>0.01</v>
      </c>
      <c r="E73" s="13">
        <f t="shared" si="6"/>
        <v>58044.990284045896</v>
      </c>
      <c r="F73" s="13">
        <f t="shared" si="7"/>
        <v>-84011.764346405966</v>
      </c>
      <c r="G73" s="13">
        <f t="shared" si="8"/>
        <v>5778532.25434223</v>
      </c>
      <c r="I73" s="120">
        <f t="shared" si="0"/>
        <v>0.30908497475771596</v>
      </c>
      <c r="J73" s="120">
        <f t="shared" si="1"/>
        <v>0.6909150252422841</v>
      </c>
      <c r="L73" s="13">
        <f t="shared" si="2"/>
        <v>-25966.774062360069</v>
      </c>
      <c r="M73" s="13">
        <f t="shared" si="3"/>
        <v>-58044.990284045896</v>
      </c>
    </row>
    <row r="74" spans="2:19" x14ac:dyDescent="0.2">
      <c r="B74" s="2">
        <v>64</v>
      </c>
      <c r="C74" s="13">
        <f t="shared" si="4"/>
        <v>5778532.25434223</v>
      </c>
      <c r="D74" s="119">
        <f t="shared" si="5"/>
        <v>0.01</v>
      </c>
      <c r="E74" s="13">
        <f t="shared" si="6"/>
        <v>57785.322543422299</v>
      </c>
      <c r="F74" s="13">
        <f t="shared" si="7"/>
        <v>-84011.764346405966</v>
      </c>
      <c r="G74" s="13">
        <f t="shared" si="8"/>
        <v>5752305.8125392469</v>
      </c>
      <c r="I74" s="120">
        <f t="shared" si="0"/>
        <v>0.31217582450529308</v>
      </c>
      <c r="J74" s="120">
        <f t="shared" si="1"/>
        <v>0.68782417549470687</v>
      </c>
      <c r="L74" s="13">
        <f t="shared" si="2"/>
        <v>-26226.441802983667</v>
      </c>
      <c r="M74" s="13">
        <f t="shared" si="3"/>
        <v>-57785.322543422299</v>
      </c>
    </row>
    <row r="75" spans="2:19" x14ac:dyDescent="0.2">
      <c r="B75" s="2">
        <v>65</v>
      </c>
      <c r="C75" s="13">
        <f t="shared" si="4"/>
        <v>5752305.8125392469</v>
      </c>
      <c r="D75" s="119">
        <f t="shared" si="5"/>
        <v>0.01</v>
      </c>
      <c r="E75" s="13">
        <f t="shared" si="6"/>
        <v>57523.058125392468</v>
      </c>
      <c r="F75" s="13">
        <f t="shared" si="7"/>
        <v>-84011.764346405966</v>
      </c>
      <c r="G75" s="13">
        <f t="shared" si="8"/>
        <v>5725817.1063182335</v>
      </c>
      <c r="I75" s="120">
        <f t="shared" si="0"/>
        <v>0.31529758275034592</v>
      </c>
      <c r="J75" s="120">
        <f t="shared" si="1"/>
        <v>0.68470241724965408</v>
      </c>
      <c r="L75" s="13">
        <f t="shared" si="2"/>
        <v>-26488.706221013497</v>
      </c>
      <c r="M75" s="13">
        <f t="shared" si="3"/>
        <v>-57523.058125392468</v>
      </c>
    </row>
    <row r="76" spans="2:19" x14ac:dyDescent="0.2">
      <c r="B76" s="2">
        <v>66</v>
      </c>
      <c r="C76" s="13">
        <f t="shared" si="4"/>
        <v>5725817.1063182335</v>
      </c>
      <c r="D76" s="119">
        <f t="shared" si="5"/>
        <v>0.01</v>
      </c>
      <c r="E76" s="13">
        <f t="shared" si="6"/>
        <v>57258.171063182337</v>
      </c>
      <c r="F76" s="13">
        <f t="shared" si="7"/>
        <v>-84011.764346405966</v>
      </c>
      <c r="G76" s="13">
        <f t="shared" si="8"/>
        <v>5699063.5130350096</v>
      </c>
      <c r="I76" s="120">
        <f t="shared" ref="I76:I139" si="13">IF(B76&gt;$D$6*12,0,L76/(L76+M76))</f>
        <v>0.31845055857784937</v>
      </c>
      <c r="J76" s="120">
        <f t="shared" ref="J76:J139" si="14">IF(B76&gt;$D$6*12,0,M76/(L76+M76))</f>
        <v>0.68154944142215068</v>
      </c>
      <c r="L76" s="13">
        <f t="shared" ref="L76:L139" si="15">IF(B76&gt;$D$6*12,0,F76+E76)</f>
        <v>-26753.593283223629</v>
      </c>
      <c r="M76" s="13">
        <f t="shared" ref="M76:M139" si="16">IF(B76&gt;$D$6*12,0,-E76)</f>
        <v>-57258.171063182337</v>
      </c>
    </row>
    <row r="77" spans="2:19" x14ac:dyDescent="0.2">
      <c r="B77" s="2">
        <v>67</v>
      </c>
      <c r="C77" s="13">
        <f t="shared" ref="C77:C140" si="17">IF(B77&gt;$D$6*12,0,G76)</f>
        <v>5699063.5130350096</v>
      </c>
      <c r="D77" s="119">
        <f t="shared" ref="D77:D140" si="18">IF(B77&gt;$D$6*12,0,D76)</f>
        <v>0.01</v>
      </c>
      <c r="E77" s="13">
        <f t="shared" ref="E77:E140" si="19">IF(B77&gt;$D$6*12,0,D77*C77)</f>
        <v>56990.6351303501</v>
      </c>
      <c r="F77" s="13">
        <f t="shared" ref="F77:F140" si="20">IF(B77&gt;$D$6*12,0,F76)</f>
        <v>-84011.764346405966</v>
      </c>
      <c r="G77" s="13">
        <f t="shared" ref="G77:G140" si="21">IF(B77&gt;$D$6*12,0,C77+E77+F77)</f>
        <v>5672042.3838189542</v>
      </c>
      <c r="I77" s="120">
        <f t="shared" si="13"/>
        <v>0.32163506416362786</v>
      </c>
      <c r="J77" s="120">
        <f t="shared" si="14"/>
        <v>0.67836493583637214</v>
      </c>
      <c r="L77" s="13">
        <f t="shared" si="15"/>
        <v>-27021.129216055866</v>
      </c>
      <c r="M77" s="13">
        <f t="shared" si="16"/>
        <v>-56990.6351303501</v>
      </c>
    </row>
    <row r="78" spans="2:19" x14ac:dyDescent="0.2">
      <c r="B78" s="2">
        <v>68</v>
      </c>
      <c r="C78" s="13">
        <f t="shared" si="17"/>
        <v>5672042.3838189542</v>
      </c>
      <c r="D78" s="119">
        <f t="shared" si="18"/>
        <v>0.01</v>
      </c>
      <c r="E78" s="13">
        <f t="shared" si="19"/>
        <v>56720.423838189541</v>
      </c>
      <c r="F78" s="13">
        <f t="shared" si="20"/>
        <v>-84011.764346405966</v>
      </c>
      <c r="G78" s="13">
        <f t="shared" si="21"/>
        <v>5644751.0433107382</v>
      </c>
      <c r="I78" s="120">
        <f t="shared" si="13"/>
        <v>0.32485141480526414</v>
      </c>
      <c r="J78" s="120">
        <f t="shared" si="14"/>
        <v>0.67514858519473586</v>
      </c>
      <c r="L78" s="13">
        <f t="shared" si="15"/>
        <v>-27291.340508216424</v>
      </c>
      <c r="M78" s="13">
        <f t="shared" si="16"/>
        <v>-56720.423838189541</v>
      </c>
    </row>
    <row r="79" spans="2:19" x14ac:dyDescent="0.2">
      <c r="B79" s="2">
        <v>69</v>
      </c>
      <c r="C79" s="13">
        <f t="shared" si="17"/>
        <v>5644751.0433107382</v>
      </c>
      <c r="D79" s="119">
        <f t="shared" si="18"/>
        <v>0.01</v>
      </c>
      <c r="E79" s="13">
        <f t="shared" si="19"/>
        <v>56447.510433107382</v>
      </c>
      <c r="F79" s="13">
        <f t="shared" si="20"/>
        <v>-84011.764346405966</v>
      </c>
      <c r="G79" s="13">
        <f t="shared" si="21"/>
        <v>5617186.7893974399</v>
      </c>
      <c r="I79" s="120">
        <f t="shared" si="13"/>
        <v>0.32809992895331674</v>
      </c>
      <c r="J79" s="120">
        <f t="shared" si="14"/>
        <v>0.67190007104668326</v>
      </c>
      <c r="L79" s="13">
        <f t="shared" si="15"/>
        <v>-27564.253913298584</v>
      </c>
      <c r="M79" s="13">
        <f t="shared" si="16"/>
        <v>-56447.510433107382</v>
      </c>
    </row>
    <row r="80" spans="2:19" x14ac:dyDescent="0.2">
      <c r="B80" s="2">
        <v>70</v>
      </c>
      <c r="C80" s="13">
        <f t="shared" si="17"/>
        <v>5617186.7893974399</v>
      </c>
      <c r="D80" s="119">
        <f t="shared" si="18"/>
        <v>0.01</v>
      </c>
      <c r="E80" s="13">
        <f t="shared" si="19"/>
        <v>56171.867893974399</v>
      </c>
      <c r="F80" s="13">
        <f t="shared" si="20"/>
        <v>-84011.764346405966</v>
      </c>
      <c r="G80" s="13">
        <f t="shared" si="21"/>
        <v>5589346.8929450084</v>
      </c>
      <c r="I80" s="120">
        <f t="shared" si="13"/>
        <v>0.33138092824284987</v>
      </c>
      <c r="J80" s="120">
        <f t="shared" si="14"/>
        <v>0.66861907175715019</v>
      </c>
      <c r="L80" s="13">
        <f t="shared" si="15"/>
        <v>-27839.896452431567</v>
      </c>
      <c r="M80" s="13">
        <f t="shared" si="16"/>
        <v>-56171.867893974399</v>
      </c>
    </row>
    <row r="81" spans="2:19" x14ac:dyDescent="0.2">
      <c r="B81" s="2">
        <v>71</v>
      </c>
      <c r="C81" s="13">
        <f t="shared" si="17"/>
        <v>5589346.8929450084</v>
      </c>
      <c r="D81" s="119">
        <f t="shared" si="18"/>
        <v>0.01</v>
      </c>
      <c r="E81" s="13">
        <f t="shared" si="19"/>
        <v>55893.468929450086</v>
      </c>
      <c r="F81" s="13">
        <f t="shared" si="20"/>
        <v>-84011.764346405966</v>
      </c>
      <c r="G81" s="13">
        <f t="shared" si="21"/>
        <v>5561228.5975280525</v>
      </c>
      <c r="I81" s="120">
        <f t="shared" si="13"/>
        <v>0.33469473752527834</v>
      </c>
      <c r="J81" s="120">
        <f t="shared" si="14"/>
        <v>0.66530526247472166</v>
      </c>
      <c r="L81" s="13">
        <f t="shared" si="15"/>
        <v>-28118.29541695588</v>
      </c>
      <c r="M81" s="13">
        <f t="shared" si="16"/>
        <v>-55893.468929450086</v>
      </c>
    </row>
    <row r="82" spans="2:19" x14ac:dyDescent="0.2">
      <c r="B82" s="2">
        <v>72</v>
      </c>
      <c r="C82" s="13">
        <f t="shared" si="17"/>
        <v>5561228.5975280525</v>
      </c>
      <c r="D82" s="119">
        <f t="shared" si="18"/>
        <v>0.01</v>
      </c>
      <c r="E82" s="13">
        <f t="shared" si="19"/>
        <v>55612.285975280523</v>
      </c>
      <c r="F82" s="13">
        <f t="shared" si="20"/>
        <v>-84011.764346405966</v>
      </c>
      <c r="G82" s="13">
        <f t="shared" si="21"/>
        <v>5532829.1191569269</v>
      </c>
      <c r="I82" s="120">
        <f t="shared" si="13"/>
        <v>0.33804168490053116</v>
      </c>
      <c r="J82" s="120">
        <f t="shared" si="14"/>
        <v>0.6619583150994689</v>
      </c>
      <c r="L82" s="13">
        <f t="shared" si="15"/>
        <v>-28399.478371125442</v>
      </c>
      <c r="M82" s="13">
        <f t="shared" si="16"/>
        <v>-55612.285975280523</v>
      </c>
      <c r="R82" s="129">
        <f t="shared" ref="R82:S82" si="22">SUM(L71:L82)</f>
        <v>-322834.71256630379</v>
      </c>
      <c r="S82" s="129">
        <f t="shared" si="22"/>
        <v>-685306.45959056809</v>
      </c>
    </row>
    <row r="83" spans="2:19" x14ac:dyDescent="0.2">
      <c r="B83" s="2">
        <v>73</v>
      </c>
      <c r="C83" s="13">
        <f t="shared" si="17"/>
        <v>5532829.1191569269</v>
      </c>
      <c r="D83" s="119">
        <f t="shared" si="18"/>
        <v>0.01</v>
      </c>
      <c r="E83" s="13">
        <f t="shared" si="19"/>
        <v>55328.291191569268</v>
      </c>
      <c r="F83" s="13">
        <f t="shared" si="20"/>
        <v>-84011.764346405966</v>
      </c>
      <c r="G83" s="13">
        <f t="shared" si="21"/>
        <v>5504145.6460020905</v>
      </c>
      <c r="I83" s="120">
        <f t="shared" si="13"/>
        <v>0.34142210174953647</v>
      </c>
      <c r="J83" s="120">
        <f t="shared" si="14"/>
        <v>0.65857789825046353</v>
      </c>
      <c r="L83" s="13">
        <f t="shared" si="15"/>
        <v>-28683.473154836698</v>
      </c>
      <c r="M83" s="13">
        <f t="shared" si="16"/>
        <v>-55328.291191569268</v>
      </c>
    </row>
    <row r="84" spans="2:19" x14ac:dyDescent="0.2">
      <c r="B84" s="2">
        <v>74</v>
      </c>
      <c r="C84" s="13">
        <f t="shared" si="17"/>
        <v>5504145.6460020905</v>
      </c>
      <c r="D84" s="119">
        <f t="shared" si="18"/>
        <v>0.01</v>
      </c>
      <c r="E84" s="13">
        <f t="shared" si="19"/>
        <v>55041.456460020905</v>
      </c>
      <c r="F84" s="13">
        <f t="shared" si="20"/>
        <v>-84011.764346405966</v>
      </c>
      <c r="G84" s="13">
        <f t="shared" si="21"/>
        <v>5475175.3381157052</v>
      </c>
      <c r="I84" s="120">
        <f t="shared" si="13"/>
        <v>0.3448363227670318</v>
      </c>
      <c r="J84" s="120">
        <f t="shared" si="14"/>
        <v>0.6551636772329682</v>
      </c>
      <c r="L84" s="13">
        <f t="shared" si="15"/>
        <v>-28970.307886385061</v>
      </c>
      <c r="M84" s="13">
        <f t="shared" si="16"/>
        <v>-55041.456460020905</v>
      </c>
    </row>
    <row r="85" spans="2:19" x14ac:dyDescent="0.2">
      <c r="B85" s="2">
        <v>75</v>
      </c>
      <c r="C85" s="13">
        <f t="shared" si="17"/>
        <v>5475175.3381157052</v>
      </c>
      <c r="D85" s="119">
        <f t="shared" si="18"/>
        <v>0.01</v>
      </c>
      <c r="E85" s="13">
        <f t="shared" si="19"/>
        <v>54751.753381157054</v>
      </c>
      <c r="F85" s="13">
        <f t="shared" si="20"/>
        <v>-84011.764346405966</v>
      </c>
      <c r="G85" s="13">
        <f t="shared" si="21"/>
        <v>5445915.3271504566</v>
      </c>
      <c r="I85" s="120">
        <f t="shared" si="13"/>
        <v>0.34828468599470214</v>
      </c>
      <c r="J85" s="120">
        <f t="shared" si="14"/>
        <v>0.65171531400529792</v>
      </c>
      <c r="L85" s="13">
        <f t="shared" si="15"/>
        <v>-29260.010965248912</v>
      </c>
      <c r="M85" s="13">
        <f t="shared" si="16"/>
        <v>-54751.753381157054</v>
      </c>
    </row>
    <row r="86" spans="2:19" x14ac:dyDescent="0.2">
      <c r="B86" s="2">
        <v>76</v>
      </c>
      <c r="C86" s="13">
        <f t="shared" si="17"/>
        <v>5445915.3271504566</v>
      </c>
      <c r="D86" s="119">
        <f t="shared" si="18"/>
        <v>0.01</v>
      </c>
      <c r="E86" s="13">
        <f t="shared" si="19"/>
        <v>54459.153271504569</v>
      </c>
      <c r="F86" s="13">
        <f t="shared" si="20"/>
        <v>-84011.764346405966</v>
      </c>
      <c r="G86" s="13">
        <f t="shared" si="21"/>
        <v>5416362.7160755554</v>
      </c>
      <c r="I86" s="120">
        <f t="shared" si="13"/>
        <v>0.35176753285464907</v>
      </c>
      <c r="J86" s="120">
        <f t="shared" si="14"/>
        <v>0.64823246714535088</v>
      </c>
      <c r="L86" s="13">
        <f t="shared" si="15"/>
        <v>-29552.611074901397</v>
      </c>
      <c r="M86" s="13">
        <f t="shared" si="16"/>
        <v>-54459.153271504569</v>
      </c>
    </row>
    <row r="87" spans="2:19" x14ac:dyDescent="0.2">
      <c r="B87" s="2">
        <v>77</v>
      </c>
      <c r="C87" s="13">
        <f t="shared" si="17"/>
        <v>5416362.7160755554</v>
      </c>
      <c r="D87" s="119">
        <f t="shared" si="18"/>
        <v>0.01</v>
      </c>
      <c r="E87" s="13">
        <f t="shared" si="19"/>
        <v>54163.627160755554</v>
      </c>
      <c r="F87" s="13">
        <f t="shared" si="20"/>
        <v>-84011.764346405966</v>
      </c>
      <c r="G87" s="13">
        <f t="shared" si="21"/>
        <v>5386514.5788899055</v>
      </c>
      <c r="I87" s="120">
        <f t="shared" si="13"/>
        <v>0.35528520818319559</v>
      </c>
      <c r="J87" s="120">
        <f t="shared" si="14"/>
        <v>0.64471479181680447</v>
      </c>
      <c r="L87" s="13">
        <f t="shared" si="15"/>
        <v>-29848.137185650412</v>
      </c>
      <c r="M87" s="13">
        <f t="shared" si="16"/>
        <v>-54163.627160755554</v>
      </c>
    </row>
    <row r="88" spans="2:19" x14ac:dyDescent="0.2">
      <c r="B88" s="2">
        <v>78</v>
      </c>
      <c r="C88" s="13">
        <f t="shared" si="17"/>
        <v>5386514.5788899055</v>
      </c>
      <c r="D88" s="119">
        <f t="shared" si="18"/>
        <v>0.01</v>
      </c>
      <c r="E88" s="13">
        <f t="shared" si="19"/>
        <v>53865.145788899055</v>
      </c>
      <c r="F88" s="13">
        <f t="shared" si="20"/>
        <v>-84011.764346405966</v>
      </c>
      <c r="G88" s="13">
        <f t="shared" si="21"/>
        <v>5356367.9603323983</v>
      </c>
      <c r="I88" s="120">
        <f t="shared" si="13"/>
        <v>0.35883806026502746</v>
      </c>
      <c r="J88" s="120">
        <f t="shared" si="14"/>
        <v>0.64116193973497249</v>
      </c>
      <c r="L88" s="13">
        <f t="shared" si="15"/>
        <v>-30146.61855750691</v>
      </c>
      <c r="M88" s="13">
        <f t="shared" si="16"/>
        <v>-53865.145788899055</v>
      </c>
    </row>
    <row r="89" spans="2:19" x14ac:dyDescent="0.2">
      <c r="B89" s="2">
        <v>79</v>
      </c>
      <c r="C89" s="13">
        <f t="shared" si="17"/>
        <v>5356367.9603323983</v>
      </c>
      <c r="D89" s="119">
        <f t="shared" si="18"/>
        <v>0.01</v>
      </c>
      <c r="E89" s="13">
        <f t="shared" si="19"/>
        <v>53563.679603323981</v>
      </c>
      <c r="F89" s="13">
        <f t="shared" si="20"/>
        <v>-84011.764346405966</v>
      </c>
      <c r="G89" s="13">
        <f t="shared" si="21"/>
        <v>5325919.8755893167</v>
      </c>
      <c r="I89" s="120">
        <f t="shared" si="13"/>
        <v>0.36242644086767783</v>
      </c>
      <c r="J89" s="120">
        <f t="shared" si="14"/>
        <v>0.63757355913232217</v>
      </c>
      <c r="L89" s="13">
        <f t="shared" si="15"/>
        <v>-30448.084743081985</v>
      </c>
      <c r="M89" s="13">
        <f t="shared" si="16"/>
        <v>-53563.679603323981</v>
      </c>
    </row>
    <row r="90" spans="2:19" x14ac:dyDescent="0.2">
      <c r="B90" s="2">
        <v>80</v>
      </c>
      <c r="C90" s="13">
        <f t="shared" si="17"/>
        <v>5325919.8755893167</v>
      </c>
      <c r="D90" s="119">
        <f t="shared" si="18"/>
        <v>0.01</v>
      </c>
      <c r="E90" s="13">
        <f t="shared" si="19"/>
        <v>53259.198755893165</v>
      </c>
      <c r="F90" s="13">
        <f t="shared" si="20"/>
        <v>-84011.764346405966</v>
      </c>
      <c r="G90" s="13">
        <f t="shared" si="21"/>
        <v>5295167.3099988038</v>
      </c>
      <c r="I90" s="120">
        <f t="shared" si="13"/>
        <v>0.36605070527635453</v>
      </c>
      <c r="J90" s="120">
        <f t="shared" si="14"/>
        <v>0.63394929472364547</v>
      </c>
      <c r="L90" s="13">
        <f t="shared" si="15"/>
        <v>-30752.565590512801</v>
      </c>
      <c r="M90" s="13">
        <f t="shared" si="16"/>
        <v>-53259.198755893165</v>
      </c>
    </row>
    <row r="91" spans="2:19" x14ac:dyDescent="0.2">
      <c r="B91" s="2">
        <v>81</v>
      </c>
      <c r="C91" s="13">
        <f t="shared" si="17"/>
        <v>5295167.3099988038</v>
      </c>
      <c r="D91" s="119">
        <f t="shared" si="18"/>
        <v>0.01</v>
      </c>
      <c r="E91" s="13">
        <f t="shared" si="19"/>
        <v>52951.673099988038</v>
      </c>
      <c r="F91" s="13">
        <f t="shared" si="20"/>
        <v>-84011.764346405966</v>
      </c>
      <c r="G91" s="13">
        <f t="shared" si="21"/>
        <v>5264107.218752386</v>
      </c>
      <c r="I91" s="120">
        <f t="shared" si="13"/>
        <v>0.36971121232911808</v>
      </c>
      <c r="J91" s="120">
        <f t="shared" si="14"/>
        <v>0.63028878767088192</v>
      </c>
      <c r="L91" s="13">
        <f t="shared" si="15"/>
        <v>-31060.091246417927</v>
      </c>
      <c r="M91" s="13">
        <f t="shared" si="16"/>
        <v>-52951.673099988038</v>
      </c>
    </row>
    <row r="92" spans="2:19" x14ac:dyDescent="0.2">
      <c r="B92" s="2">
        <v>82</v>
      </c>
      <c r="C92" s="13">
        <f t="shared" si="17"/>
        <v>5264107.218752386</v>
      </c>
      <c r="D92" s="119">
        <f t="shared" si="18"/>
        <v>0.01</v>
      </c>
      <c r="E92" s="13">
        <f t="shared" si="19"/>
        <v>52641.07218752386</v>
      </c>
      <c r="F92" s="13">
        <f t="shared" si="20"/>
        <v>-84011.764346405966</v>
      </c>
      <c r="G92" s="13">
        <f t="shared" si="21"/>
        <v>5232736.5265935045</v>
      </c>
      <c r="I92" s="120">
        <f t="shared" si="13"/>
        <v>0.37340832445240923</v>
      </c>
      <c r="J92" s="120">
        <f t="shared" si="14"/>
        <v>0.62659167554759077</v>
      </c>
      <c r="L92" s="13">
        <f t="shared" si="15"/>
        <v>-31370.692158882106</v>
      </c>
      <c r="M92" s="13">
        <f t="shared" si="16"/>
        <v>-52641.07218752386</v>
      </c>
    </row>
    <row r="93" spans="2:19" x14ac:dyDescent="0.2">
      <c r="B93" s="2">
        <v>83</v>
      </c>
      <c r="C93" s="13">
        <f t="shared" si="17"/>
        <v>5232736.5265935045</v>
      </c>
      <c r="D93" s="119">
        <f t="shared" si="18"/>
        <v>0.01</v>
      </c>
      <c r="E93" s="13">
        <f t="shared" si="19"/>
        <v>52327.365265935048</v>
      </c>
      <c r="F93" s="13">
        <f t="shared" si="20"/>
        <v>-84011.764346405966</v>
      </c>
      <c r="G93" s="13">
        <f t="shared" si="21"/>
        <v>5201052.1275130333</v>
      </c>
      <c r="I93" s="120">
        <f t="shared" si="13"/>
        <v>0.37714240769693325</v>
      </c>
      <c r="J93" s="120">
        <f t="shared" si="14"/>
        <v>0.62285759230306681</v>
      </c>
      <c r="L93" s="13">
        <f t="shared" si="15"/>
        <v>-31684.399080470917</v>
      </c>
      <c r="M93" s="13">
        <f t="shared" si="16"/>
        <v>-52327.365265935048</v>
      </c>
    </row>
    <row r="94" spans="2:19" x14ac:dyDescent="0.2">
      <c r="B94" s="2">
        <v>84</v>
      </c>
      <c r="C94" s="13">
        <f t="shared" si="17"/>
        <v>5201052.1275130333</v>
      </c>
      <c r="D94" s="119">
        <f t="shared" si="18"/>
        <v>0.01</v>
      </c>
      <c r="E94" s="13">
        <f t="shared" si="19"/>
        <v>52010.521275130333</v>
      </c>
      <c r="F94" s="13">
        <f t="shared" si="20"/>
        <v>-84011.764346405966</v>
      </c>
      <c r="G94" s="13">
        <f t="shared" si="21"/>
        <v>5169050.8844417576</v>
      </c>
      <c r="I94" s="120">
        <f t="shared" si="13"/>
        <v>0.38091383177390264</v>
      </c>
      <c r="J94" s="120">
        <f t="shared" si="14"/>
        <v>0.61908616822609741</v>
      </c>
      <c r="L94" s="13">
        <f t="shared" si="15"/>
        <v>-32001.243071275632</v>
      </c>
      <c r="M94" s="13">
        <f t="shared" si="16"/>
        <v>-52010.521275130333</v>
      </c>
      <c r="R94" s="129">
        <f t="shared" ref="R94:S94" si="23">SUM(L83:L94)</f>
        <v>-363778.23471517075</v>
      </c>
      <c r="S94" s="129">
        <f t="shared" si="23"/>
        <v>-644362.93744170084</v>
      </c>
    </row>
    <row r="95" spans="2:19" x14ac:dyDescent="0.2">
      <c r="B95" s="2">
        <v>85</v>
      </c>
      <c r="C95" s="13">
        <f t="shared" si="17"/>
        <v>5169050.8844417576</v>
      </c>
      <c r="D95" s="119">
        <f t="shared" si="18"/>
        <v>0.01</v>
      </c>
      <c r="E95" s="13">
        <f t="shared" si="19"/>
        <v>51690.508844417578</v>
      </c>
      <c r="F95" s="13">
        <f t="shared" si="20"/>
        <v>-84011.764346405966</v>
      </c>
      <c r="G95" s="13">
        <f t="shared" si="21"/>
        <v>5136729.6289397692</v>
      </c>
      <c r="I95" s="120">
        <f t="shared" si="13"/>
        <v>0.38472297009164164</v>
      </c>
      <c r="J95" s="120">
        <f t="shared" si="14"/>
        <v>0.61527702990835831</v>
      </c>
      <c r="L95" s="13">
        <f t="shared" si="15"/>
        <v>-32321.255501988388</v>
      </c>
      <c r="M95" s="13">
        <f t="shared" si="16"/>
        <v>-51690.508844417578</v>
      </c>
    </row>
    <row r="96" spans="2:19" x14ac:dyDescent="0.2">
      <c r="B96" s="2">
        <v>86</v>
      </c>
      <c r="C96" s="13">
        <f t="shared" si="17"/>
        <v>5136729.6289397692</v>
      </c>
      <c r="D96" s="119">
        <f t="shared" si="18"/>
        <v>0.01</v>
      </c>
      <c r="E96" s="13">
        <f t="shared" si="19"/>
        <v>51367.296289397695</v>
      </c>
      <c r="F96" s="13">
        <f t="shared" si="20"/>
        <v>-84011.764346405966</v>
      </c>
      <c r="G96" s="13">
        <f t="shared" si="21"/>
        <v>5104085.1608827608</v>
      </c>
      <c r="I96" s="120">
        <f t="shared" si="13"/>
        <v>0.38857019979255802</v>
      </c>
      <c r="J96" s="120">
        <f t="shared" si="14"/>
        <v>0.61142980020744198</v>
      </c>
      <c r="L96" s="13">
        <f t="shared" si="15"/>
        <v>-32644.468057008271</v>
      </c>
      <c r="M96" s="13">
        <f t="shared" si="16"/>
        <v>-51367.296289397695</v>
      </c>
    </row>
    <row r="97" spans="2:19" x14ac:dyDescent="0.2">
      <c r="B97" s="2">
        <v>87</v>
      </c>
      <c r="C97" s="13">
        <f t="shared" si="17"/>
        <v>5104085.1608827608</v>
      </c>
      <c r="D97" s="119">
        <f t="shared" si="18"/>
        <v>0.01</v>
      </c>
      <c r="E97" s="13">
        <f t="shared" si="19"/>
        <v>51040.851608827608</v>
      </c>
      <c r="F97" s="13">
        <f t="shared" si="20"/>
        <v>-84011.764346405966</v>
      </c>
      <c r="G97" s="13">
        <f t="shared" si="21"/>
        <v>5071114.2481451826</v>
      </c>
      <c r="I97" s="120">
        <f t="shared" si="13"/>
        <v>0.39245590179048367</v>
      </c>
      <c r="J97" s="120">
        <f t="shared" si="14"/>
        <v>0.60754409820951638</v>
      </c>
      <c r="L97" s="13">
        <f t="shared" si="15"/>
        <v>-32970.912737578357</v>
      </c>
      <c r="M97" s="13">
        <f t="shared" si="16"/>
        <v>-51040.851608827608</v>
      </c>
    </row>
    <row r="98" spans="2:19" x14ac:dyDescent="0.2">
      <c r="B98" s="2">
        <v>88</v>
      </c>
      <c r="C98" s="13">
        <f t="shared" si="17"/>
        <v>5071114.2481451826</v>
      </c>
      <c r="D98" s="119">
        <f t="shared" si="18"/>
        <v>0.01</v>
      </c>
      <c r="E98" s="13">
        <f t="shared" si="19"/>
        <v>50711.142481451825</v>
      </c>
      <c r="F98" s="13">
        <f t="shared" si="20"/>
        <v>-84011.764346405966</v>
      </c>
      <c r="G98" s="13">
        <f t="shared" si="21"/>
        <v>5037813.6262802286</v>
      </c>
      <c r="I98" s="120">
        <f t="shared" si="13"/>
        <v>0.39638046080838851</v>
      </c>
      <c r="J98" s="120">
        <f t="shared" si="14"/>
        <v>0.60361953919161149</v>
      </c>
      <c r="L98" s="13">
        <f t="shared" si="15"/>
        <v>-33300.621864954141</v>
      </c>
      <c r="M98" s="13">
        <f t="shared" si="16"/>
        <v>-50711.142481451825</v>
      </c>
    </row>
    <row r="99" spans="2:19" x14ac:dyDescent="0.2">
      <c r="B99" s="2">
        <v>89</v>
      </c>
      <c r="C99" s="13">
        <f t="shared" si="17"/>
        <v>5037813.6262802286</v>
      </c>
      <c r="D99" s="119">
        <f t="shared" si="18"/>
        <v>0.01</v>
      </c>
      <c r="E99" s="13">
        <f t="shared" si="19"/>
        <v>50378.136262802291</v>
      </c>
      <c r="F99" s="13">
        <f t="shared" si="20"/>
        <v>-84011.764346405966</v>
      </c>
      <c r="G99" s="13">
        <f t="shared" si="21"/>
        <v>5004179.9981966252</v>
      </c>
      <c r="I99" s="120">
        <f t="shared" si="13"/>
        <v>0.40034426541647228</v>
      </c>
      <c r="J99" s="120">
        <f t="shared" si="14"/>
        <v>0.59965573458352772</v>
      </c>
      <c r="L99" s="13">
        <f t="shared" si="15"/>
        <v>-33633.628083603675</v>
      </c>
      <c r="M99" s="13">
        <f t="shared" si="16"/>
        <v>-50378.136262802291</v>
      </c>
    </row>
    <row r="100" spans="2:19" x14ac:dyDescent="0.2">
      <c r="B100" s="2">
        <v>90</v>
      </c>
      <c r="C100" s="13">
        <f t="shared" si="17"/>
        <v>5004179.9981966252</v>
      </c>
      <c r="D100" s="119">
        <f t="shared" si="18"/>
        <v>0.01</v>
      </c>
      <c r="E100" s="13">
        <f t="shared" si="19"/>
        <v>50041.799981966251</v>
      </c>
      <c r="F100" s="13">
        <f t="shared" si="20"/>
        <v>-84011.764346405966</v>
      </c>
      <c r="G100" s="13">
        <f t="shared" si="21"/>
        <v>4970210.0338321859</v>
      </c>
      <c r="I100" s="120">
        <f t="shared" si="13"/>
        <v>0.40434770807063708</v>
      </c>
      <c r="J100" s="120">
        <f t="shared" si="14"/>
        <v>0.59565229192936298</v>
      </c>
      <c r="L100" s="13">
        <f t="shared" si="15"/>
        <v>-33969.964364439715</v>
      </c>
      <c r="M100" s="13">
        <f t="shared" si="16"/>
        <v>-50041.799981966251</v>
      </c>
    </row>
    <row r="101" spans="2:19" x14ac:dyDescent="0.2">
      <c r="B101" s="2">
        <v>91</v>
      </c>
      <c r="C101" s="13">
        <f t="shared" si="17"/>
        <v>4970210.0338321859</v>
      </c>
      <c r="D101" s="119">
        <f t="shared" si="18"/>
        <v>0.01</v>
      </c>
      <c r="E101" s="13">
        <f t="shared" si="19"/>
        <v>49702.100338321863</v>
      </c>
      <c r="F101" s="13">
        <f t="shared" si="20"/>
        <v>-84011.764346405966</v>
      </c>
      <c r="G101" s="13">
        <f t="shared" si="21"/>
        <v>4935900.3698241021</v>
      </c>
      <c r="I101" s="120">
        <f t="shared" si="13"/>
        <v>0.40839118515134332</v>
      </c>
      <c r="J101" s="120">
        <f t="shared" si="14"/>
        <v>0.59160881484865668</v>
      </c>
      <c r="L101" s="13">
        <f t="shared" si="15"/>
        <v>-34309.664008084103</v>
      </c>
      <c r="M101" s="13">
        <f t="shared" si="16"/>
        <v>-49702.100338321863</v>
      </c>
    </row>
    <row r="102" spans="2:19" x14ac:dyDescent="0.2">
      <c r="B102" s="2">
        <v>92</v>
      </c>
      <c r="C102" s="13">
        <f t="shared" si="17"/>
        <v>4935900.3698241021</v>
      </c>
      <c r="D102" s="119">
        <f t="shared" si="18"/>
        <v>0.01</v>
      </c>
      <c r="E102" s="13">
        <f t="shared" si="19"/>
        <v>49359.003698241024</v>
      </c>
      <c r="F102" s="13">
        <f t="shared" si="20"/>
        <v>-84011.764346405966</v>
      </c>
      <c r="G102" s="13">
        <f t="shared" si="21"/>
        <v>4901247.6091759373</v>
      </c>
      <c r="I102" s="120">
        <f t="shared" si="13"/>
        <v>0.41247509700285673</v>
      </c>
      <c r="J102" s="120">
        <f t="shared" si="14"/>
        <v>0.58752490299714322</v>
      </c>
      <c r="L102" s="13">
        <f t="shared" si="15"/>
        <v>-34652.760648164942</v>
      </c>
      <c r="M102" s="13">
        <f t="shared" si="16"/>
        <v>-49359.003698241024</v>
      </c>
    </row>
    <row r="103" spans="2:19" x14ac:dyDescent="0.2">
      <c r="B103" s="2">
        <v>93</v>
      </c>
      <c r="C103" s="13">
        <f t="shared" si="17"/>
        <v>4901247.6091759373</v>
      </c>
      <c r="D103" s="119">
        <f t="shared" si="18"/>
        <v>0.01</v>
      </c>
      <c r="E103" s="13">
        <f t="shared" si="19"/>
        <v>49012.476091759374</v>
      </c>
      <c r="F103" s="13">
        <f t="shared" si="20"/>
        <v>-84011.764346405966</v>
      </c>
      <c r="G103" s="13">
        <f t="shared" si="21"/>
        <v>4866248.3209212907</v>
      </c>
      <c r="I103" s="120">
        <f t="shared" si="13"/>
        <v>0.4165998479728853</v>
      </c>
      <c r="J103" s="120">
        <f t="shared" si="14"/>
        <v>0.5834001520271147</v>
      </c>
      <c r="L103" s="13">
        <f t="shared" si="15"/>
        <v>-34999.288254646592</v>
      </c>
      <c r="M103" s="13">
        <f t="shared" si="16"/>
        <v>-49012.476091759374</v>
      </c>
    </row>
    <row r="104" spans="2:19" x14ac:dyDescent="0.2">
      <c r="B104" s="2">
        <v>94</v>
      </c>
      <c r="C104" s="13">
        <f t="shared" si="17"/>
        <v>4866248.3209212907</v>
      </c>
      <c r="D104" s="119">
        <f t="shared" si="18"/>
        <v>0.01</v>
      </c>
      <c r="E104" s="13">
        <f t="shared" si="19"/>
        <v>48662.483209212907</v>
      </c>
      <c r="F104" s="13">
        <f t="shared" si="20"/>
        <v>-84011.764346405966</v>
      </c>
      <c r="G104" s="13">
        <f t="shared" si="21"/>
        <v>4830899.039784098</v>
      </c>
      <c r="I104" s="120">
        <f t="shared" si="13"/>
        <v>0.42076584645261417</v>
      </c>
      <c r="J104" s="120">
        <f t="shared" si="14"/>
        <v>0.57923415354738583</v>
      </c>
      <c r="L104" s="13">
        <f t="shared" si="15"/>
        <v>-35349.281137193058</v>
      </c>
      <c r="M104" s="13">
        <f t="shared" si="16"/>
        <v>-48662.483209212907</v>
      </c>
    </row>
    <row r="105" spans="2:19" x14ac:dyDescent="0.2">
      <c r="B105" s="2">
        <v>95</v>
      </c>
      <c r="C105" s="13">
        <f t="shared" si="17"/>
        <v>4830899.039784098</v>
      </c>
      <c r="D105" s="119">
        <f t="shared" si="18"/>
        <v>0.01</v>
      </c>
      <c r="E105" s="13">
        <f t="shared" si="19"/>
        <v>48308.990397840978</v>
      </c>
      <c r="F105" s="13">
        <f t="shared" si="20"/>
        <v>-84011.764346405966</v>
      </c>
      <c r="G105" s="13">
        <f t="shared" si="21"/>
        <v>4795196.2658355329</v>
      </c>
      <c r="I105" s="120">
        <f t="shared" si="13"/>
        <v>0.42497350491714031</v>
      </c>
      <c r="J105" s="120">
        <f t="shared" si="14"/>
        <v>0.57502649508285975</v>
      </c>
      <c r="L105" s="13">
        <f t="shared" si="15"/>
        <v>-35702.773948564987</v>
      </c>
      <c r="M105" s="13">
        <f t="shared" si="16"/>
        <v>-48308.990397840978</v>
      </c>
    </row>
    <row r="106" spans="2:19" x14ac:dyDescent="0.2">
      <c r="B106" s="2">
        <v>96</v>
      </c>
      <c r="C106" s="13">
        <f t="shared" si="17"/>
        <v>4795196.2658355329</v>
      </c>
      <c r="D106" s="119">
        <f t="shared" si="18"/>
        <v>0.01</v>
      </c>
      <c r="E106" s="13">
        <f t="shared" si="19"/>
        <v>47951.962658355333</v>
      </c>
      <c r="F106" s="13">
        <f t="shared" si="20"/>
        <v>-84011.764346405966</v>
      </c>
      <c r="G106" s="13">
        <f t="shared" si="21"/>
        <v>4759136.4641474821</v>
      </c>
      <c r="I106" s="120">
        <f t="shared" si="13"/>
        <v>0.42922323996631162</v>
      </c>
      <c r="J106" s="120">
        <f t="shared" si="14"/>
        <v>0.57077676003368838</v>
      </c>
      <c r="L106" s="13">
        <f t="shared" si="15"/>
        <v>-36059.801688050633</v>
      </c>
      <c r="M106" s="13">
        <f t="shared" si="16"/>
        <v>-47951.962658355333</v>
      </c>
      <c r="R106" s="129">
        <f t="shared" ref="R106:S106" si="24">SUM(L95:L106)</f>
        <v>-409914.4202942769</v>
      </c>
      <c r="S106" s="129">
        <f t="shared" si="24"/>
        <v>-598226.75186259474</v>
      </c>
    </row>
    <row r="107" spans="2:19" x14ac:dyDescent="0.2">
      <c r="B107" s="2">
        <v>97</v>
      </c>
      <c r="C107" s="13">
        <f t="shared" si="17"/>
        <v>4759136.4641474821</v>
      </c>
      <c r="D107" s="119">
        <f t="shared" si="18"/>
        <v>0.01</v>
      </c>
      <c r="E107" s="13">
        <f t="shared" si="19"/>
        <v>47591.364641474822</v>
      </c>
      <c r="F107" s="13">
        <f t="shared" si="20"/>
        <v>-84011.764346405966</v>
      </c>
      <c r="G107" s="13">
        <f t="shared" si="21"/>
        <v>4722716.0644425508</v>
      </c>
      <c r="I107" s="120">
        <f t="shared" si="13"/>
        <v>0.43351547236597482</v>
      </c>
      <c r="J107" s="120">
        <f t="shared" si="14"/>
        <v>0.56648452763402524</v>
      </c>
      <c r="L107" s="13">
        <f t="shared" si="15"/>
        <v>-36420.399704931144</v>
      </c>
      <c r="M107" s="13">
        <f t="shared" si="16"/>
        <v>-47591.364641474822</v>
      </c>
    </row>
    <row r="108" spans="2:19" x14ac:dyDescent="0.2">
      <c r="B108" s="2">
        <v>98</v>
      </c>
      <c r="C108" s="13">
        <f t="shared" si="17"/>
        <v>4722716.0644425508</v>
      </c>
      <c r="D108" s="119">
        <f t="shared" si="18"/>
        <v>0.01</v>
      </c>
      <c r="E108" s="13">
        <f t="shared" si="19"/>
        <v>47227.160644425509</v>
      </c>
      <c r="F108" s="13">
        <f t="shared" si="20"/>
        <v>-84011.764346405966</v>
      </c>
      <c r="G108" s="13">
        <f t="shared" si="21"/>
        <v>4685931.46074057</v>
      </c>
      <c r="I108" s="120">
        <f t="shared" si="13"/>
        <v>0.43785062708963457</v>
      </c>
      <c r="J108" s="120">
        <f t="shared" si="14"/>
        <v>0.56214937291036537</v>
      </c>
      <c r="L108" s="13">
        <f t="shared" si="15"/>
        <v>-36784.603701980457</v>
      </c>
      <c r="M108" s="13">
        <f t="shared" si="16"/>
        <v>-47227.160644425509</v>
      </c>
    </row>
    <row r="109" spans="2:19" x14ac:dyDescent="0.2">
      <c r="B109" s="2">
        <v>99</v>
      </c>
      <c r="C109" s="13">
        <f t="shared" si="17"/>
        <v>4685931.46074057</v>
      </c>
      <c r="D109" s="119">
        <f t="shared" si="18"/>
        <v>0.01</v>
      </c>
      <c r="E109" s="13">
        <f t="shared" si="19"/>
        <v>46859.3146074057</v>
      </c>
      <c r="F109" s="13">
        <f t="shared" si="20"/>
        <v>-84011.764346405966</v>
      </c>
      <c r="G109" s="13">
        <f t="shared" si="21"/>
        <v>4648779.0110015702</v>
      </c>
      <c r="I109" s="120">
        <f t="shared" si="13"/>
        <v>0.44222913336053099</v>
      </c>
      <c r="J109" s="120">
        <f t="shared" si="14"/>
        <v>0.55777086663946907</v>
      </c>
      <c r="L109" s="13">
        <f t="shared" si="15"/>
        <v>-37152.449739000265</v>
      </c>
      <c r="M109" s="13">
        <f t="shared" si="16"/>
        <v>-46859.3146074057</v>
      </c>
    </row>
    <row r="110" spans="2:19" x14ac:dyDescent="0.2">
      <c r="B110" s="2">
        <v>100</v>
      </c>
      <c r="C110" s="13">
        <f t="shared" si="17"/>
        <v>4648779.0110015702</v>
      </c>
      <c r="D110" s="119">
        <f t="shared" si="18"/>
        <v>0.01</v>
      </c>
      <c r="E110" s="13">
        <f t="shared" si="19"/>
        <v>46487.790110015703</v>
      </c>
      <c r="F110" s="13">
        <f t="shared" si="20"/>
        <v>-84011.764346405966</v>
      </c>
      <c r="G110" s="13">
        <f t="shared" si="21"/>
        <v>4611255.0367651796</v>
      </c>
      <c r="I110" s="120">
        <f t="shared" si="13"/>
        <v>0.44665142469413621</v>
      </c>
      <c r="J110" s="120">
        <f t="shared" si="14"/>
        <v>0.55334857530586379</v>
      </c>
      <c r="L110" s="13">
        <f t="shared" si="15"/>
        <v>-37523.974236390262</v>
      </c>
      <c r="M110" s="13">
        <f t="shared" si="16"/>
        <v>-46487.790110015703</v>
      </c>
    </row>
    <row r="111" spans="2:19" x14ac:dyDescent="0.2">
      <c r="B111" s="2">
        <v>101</v>
      </c>
      <c r="C111" s="13">
        <f t="shared" si="17"/>
        <v>4611255.0367651796</v>
      </c>
      <c r="D111" s="119">
        <f t="shared" si="18"/>
        <v>0.01</v>
      </c>
      <c r="E111" s="13">
        <f t="shared" si="19"/>
        <v>46112.550367651798</v>
      </c>
      <c r="F111" s="13">
        <f t="shared" si="20"/>
        <v>-84011.764346405966</v>
      </c>
      <c r="G111" s="13">
        <f t="shared" si="21"/>
        <v>4573355.8227864252</v>
      </c>
      <c r="I111" s="120">
        <f t="shared" si="13"/>
        <v>0.4511179389410776</v>
      </c>
      <c r="J111" s="120">
        <f t="shared" si="14"/>
        <v>0.54888206105892234</v>
      </c>
      <c r="L111" s="13">
        <f t="shared" si="15"/>
        <v>-37899.213978754167</v>
      </c>
      <c r="M111" s="13">
        <f t="shared" si="16"/>
        <v>-46112.550367651798</v>
      </c>
    </row>
    <row r="112" spans="2:19" x14ac:dyDescent="0.2">
      <c r="B112" s="2">
        <v>102</v>
      </c>
      <c r="C112" s="13">
        <f t="shared" si="17"/>
        <v>4573355.8227864252</v>
      </c>
      <c r="D112" s="119">
        <f t="shared" si="18"/>
        <v>0.01</v>
      </c>
      <c r="E112" s="13">
        <f t="shared" si="19"/>
        <v>45733.558227864254</v>
      </c>
      <c r="F112" s="13">
        <f t="shared" si="20"/>
        <v>-84011.764346405966</v>
      </c>
      <c r="G112" s="13">
        <f t="shared" si="21"/>
        <v>4535077.6166678835</v>
      </c>
      <c r="I112" s="120">
        <f t="shared" si="13"/>
        <v>0.45562911833048841</v>
      </c>
      <c r="J112" s="120">
        <f t="shared" si="14"/>
        <v>0.54437088166951153</v>
      </c>
      <c r="L112" s="13">
        <f t="shared" si="15"/>
        <v>-38278.206118541711</v>
      </c>
      <c r="M112" s="13">
        <f t="shared" si="16"/>
        <v>-45733.558227864254</v>
      </c>
    </row>
    <row r="113" spans="2:19" x14ac:dyDescent="0.2">
      <c r="B113" s="2">
        <v>103</v>
      </c>
      <c r="C113" s="13">
        <f t="shared" si="17"/>
        <v>4535077.6166678835</v>
      </c>
      <c r="D113" s="119">
        <f t="shared" si="18"/>
        <v>0.01</v>
      </c>
      <c r="E113" s="13">
        <f t="shared" si="19"/>
        <v>45350.776166678836</v>
      </c>
      <c r="F113" s="13">
        <f t="shared" si="20"/>
        <v>-84011.764346405966</v>
      </c>
      <c r="G113" s="13">
        <f t="shared" si="21"/>
        <v>4496416.628488156</v>
      </c>
      <c r="I113" s="120">
        <f t="shared" si="13"/>
        <v>0.46018540951379333</v>
      </c>
      <c r="J113" s="120">
        <f t="shared" si="14"/>
        <v>0.53981459048620672</v>
      </c>
      <c r="L113" s="13">
        <f t="shared" si="15"/>
        <v>-38660.98817972713</v>
      </c>
      <c r="M113" s="13">
        <f t="shared" si="16"/>
        <v>-45350.776166678836</v>
      </c>
    </row>
    <row r="114" spans="2:19" x14ac:dyDescent="0.2">
      <c r="B114" s="2">
        <v>104</v>
      </c>
      <c r="C114" s="13">
        <f t="shared" si="17"/>
        <v>4496416.628488156</v>
      </c>
      <c r="D114" s="119">
        <f t="shared" si="18"/>
        <v>0.01</v>
      </c>
      <c r="E114" s="13">
        <f t="shared" si="19"/>
        <v>44964.166284881561</v>
      </c>
      <c r="F114" s="13">
        <f t="shared" si="20"/>
        <v>-84011.764346405966</v>
      </c>
      <c r="G114" s="13">
        <f t="shared" si="21"/>
        <v>4457369.0304266317</v>
      </c>
      <c r="I114" s="120">
        <f t="shared" si="13"/>
        <v>0.4647872636089313</v>
      </c>
      <c r="J114" s="120">
        <f t="shared" si="14"/>
        <v>0.5352127363910687</v>
      </c>
      <c r="L114" s="13">
        <f t="shared" si="15"/>
        <v>-39047.598061524404</v>
      </c>
      <c r="M114" s="13">
        <f t="shared" si="16"/>
        <v>-44964.166284881561</v>
      </c>
    </row>
    <row r="115" spans="2:19" x14ac:dyDescent="0.2">
      <c r="B115" s="2">
        <v>105</v>
      </c>
      <c r="C115" s="13">
        <f t="shared" si="17"/>
        <v>4457369.0304266317</v>
      </c>
      <c r="D115" s="119">
        <f t="shared" si="18"/>
        <v>0.01</v>
      </c>
      <c r="E115" s="13">
        <f t="shared" si="19"/>
        <v>44573.690304266318</v>
      </c>
      <c r="F115" s="13">
        <f t="shared" si="20"/>
        <v>-84011.764346405966</v>
      </c>
      <c r="G115" s="13">
        <f t="shared" si="21"/>
        <v>4417930.9563844921</v>
      </c>
      <c r="I115" s="120">
        <f t="shared" si="13"/>
        <v>0.46943513624502059</v>
      </c>
      <c r="J115" s="120">
        <f t="shared" si="14"/>
        <v>0.53056486375497947</v>
      </c>
      <c r="L115" s="13">
        <f t="shared" si="15"/>
        <v>-39438.074042139648</v>
      </c>
      <c r="M115" s="13">
        <f t="shared" si="16"/>
        <v>-44573.690304266318</v>
      </c>
    </row>
    <row r="116" spans="2:19" x14ac:dyDescent="0.2">
      <c r="B116" s="2">
        <v>106</v>
      </c>
      <c r="C116" s="13">
        <f t="shared" si="17"/>
        <v>4417930.9563844921</v>
      </c>
      <c r="D116" s="119">
        <f t="shared" si="18"/>
        <v>0.01</v>
      </c>
      <c r="E116" s="13">
        <f t="shared" si="19"/>
        <v>44179.309563844923</v>
      </c>
      <c r="F116" s="13">
        <f t="shared" si="20"/>
        <v>-84011.764346405966</v>
      </c>
      <c r="G116" s="13">
        <f t="shared" si="21"/>
        <v>4378098.5016019307</v>
      </c>
      <c r="I116" s="120">
        <f t="shared" si="13"/>
        <v>0.47412948760747076</v>
      </c>
      <c r="J116" s="120">
        <f t="shared" si="14"/>
        <v>0.52587051239252924</v>
      </c>
      <c r="L116" s="13">
        <f t="shared" si="15"/>
        <v>-39832.454782561043</v>
      </c>
      <c r="M116" s="13">
        <f t="shared" si="16"/>
        <v>-44179.309563844923</v>
      </c>
    </row>
    <row r="117" spans="2:19" x14ac:dyDescent="0.2">
      <c r="B117" s="2">
        <v>107</v>
      </c>
      <c r="C117" s="13">
        <f t="shared" si="17"/>
        <v>4378098.5016019307</v>
      </c>
      <c r="D117" s="119">
        <f t="shared" si="18"/>
        <v>0.01</v>
      </c>
      <c r="E117" s="13">
        <f t="shared" si="19"/>
        <v>43780.985016019309</v>
      </c>
      <c r="F117" s="13">
        <f t="shared" si="20"/>
        <v>-84011.764346405966</v>
      </c>
      <c r="G117" s="13">
        <f t="shared" si="21"/>
        <v>4337867.7222715439</v>
      </c>
      <c r="I117" s="120">
        <f t="shared" si="13"/>
        <v>0.47887078248354553</v>
      </c>
      <c r="J117" s="120">
        <f t="shared" si="14"/>
        <v>0.52112921751645447</v>
      </c>
      <c r="L117" s="13">
        <f t="shared" si="15"/>
        <v>-40230.779330386657</v>
      </c>
      <c r="M117" s="13">
        <f t="shared" si="16"/>
        <v>-43780.985016019309</v>
      </c>
    </row>
    <row r="118" spans="2:19" x14ac:dyDescent="0.2">
      <c r="B118" s="2">
        <v>108</v>
      </c>
      <c r="C118" s="13">
        <f t="shared" si="17"/>
        <v>4337867.7222715439</v>
      </c>
      <c r="D118" s="119">
        <f t="shared" si="18"/>
        <v>0.01</v>
      </c>
      <c r="E118" s="13">
        <f t="shared" si="19"/>
        <v>43378.677222715443</v>
      </c>
      <c r="F118" s="13">
        <f t="shared" si="20"/>
        <v>-84011.764346405966</v>
      </c>
      <c r="G118" s="13">
        <f t="shared" si="21"/>
        <v>4297234.6351478538</v>
      </c>
      <c r="I118" s="120">
        <f t="shared" si="13"/>
        <v>0.48365949030838096</v>
      </c>
      <c r="J118" s="120">
        <f t="shared" si="14"/>
        <v>0.51634050969161904</v>
      </c>
      <c r="L118" s="13">
        <f t="shared" si="15"/>
        <v>-40633.087123690522</v>
      </c>
      <c r="M118" s="13">
        <f t="shared" si="16"/>
        <v>-43378.677222715443</v>
      </c>
      <c r="R118" s="129">
        <f t="shared" ref="R118:S118" si="25">SUM(L107:L118)</f>
        <v>-461901.82899962738</v>
      </c>
      <c r="S118" s="129">
        <f t="shared" si="25"/>
        <v>-546239.34315724415</v>
      </c>
    </row>
    <row r="119" spans="2:19" x14ac:dyDescent="0.2">
      <c r="B119" s="2">
        <v>109</v>
      </c>
      <c r="C119" s="13">
        <f t="shared" si="17"/>
        <v>4297234.6351478538</v>
      </c>
      <c r="D119" s="119">
        <f t="shared" si="18"/>
        <v>0.01</v>
      </c>
      <c r="E119" s="13">
        <f t="shared" si="19"/>
        <v>42972.34635147854</v>
      </c>
      <c r="F119" s="13">
        <f t="shared" si="20"/>
        <v>-84011.764346405966</v>
      </c>
      <c r="G119" s="13">
        <f t="shared" si="21"/>
        <v>4256195.2171529261</v>
      </c>
      <c r="I119" s="120">
        <f t="shared" si="13"/>
        <v>0.48849608521146476</v>
      </c>
      <c r="J119" s="120">
        <f t="shared" si="14"/>
        <v>0.51150391478853519</v>
      </c>
      <c r="L119" s="13">
        <f t="shared" si="15"/>
        <v>-41039.417994927426</v>
      </c>
      <c r="M119" s="13">
        <f t="shared" si="16"/>
        <v>-42972.34635147854</v>
      </c>
    </row>
    <row r="120" spans="2:19" x14ac:dyDescent="0.2">
      <c r="B120" s="2">
        <v>110</v>
      </c>
      <c r="C120" s="13">
        <f t="shared" si="17"/>
        <v>4256195.2171529261</v>
      </c>
      <c r="D120" s="119">
        <f t="shared" si="18"/>
        <v>0.01</v>
      </c>
      <c r="E120" s="13">
        <f t="shared" si="19"/>
        <v>42561.952171529265</v>
      </c>
      <c r="F120" s="13">
        <f t="shared" si="20"/>
        <v>-84011.764346405966</v>
      </c>
      <c r="G120" s="13">
        <f t="shared" si="21"/>
        <v>4214745.4049780499</v>
      </c>
      <c r="I120" s="120">
        <f t="shared" si="13"/>
        <v>0.49338104606357941</v>
      </c>
      <c r="J120" s="120">
        <f t="shared" si="14"/>
        <v>0.50661895393642054</v>
      </c>
      <c r="L120" s="13">
        <f t="shared" si="15"/>
        <v>-41449.812174876701</v>
      </c>
      <c r="M120" s="13">
        <f t="shared" si="16"/>
        <v>-42561.952171529265</v>
      </c>
    </row>
    <row r="121" spans="2:19" x14ac:dyDescent="0.2">
      <c r="B121" s="2">
        <v>111</v>
      </c>
      <c r="C121" s="13">
        <f t="shared" si="17"/>
        <v>4214745.4049780499</v>
      </c>
      <c r="D121" s="119">
        <f t="shared" si="18"/>
        <v>0.01</v>
      </c>
      <c r="E121" s="13">
        <f t="shared" si="19"/>
        <v>42147.454049780499</v>
      </c>
      <c r="F121" s="13">
        <f t="shared" si="20"/>
        <v>-84011.764346405966</v>
      </c>
      <c r="G121" s="13">
        <f t="shared" si="21"/>
        <v>4172881.094681425</v>
      </c>
      <c r="I121" s="120">
        <f t="shared" si="13"/>
        <v>0.4983148565242152</v>
      </c>
      <c r="J121" s="120">
        <f t="shared" si="14"/>
        <v>0.50168514347578486</v>
      </c>
      <c r="L121" s="13">
        <f t="shared" si="15"/>
        <v>-41864.310296625466</v>
      </c>
      <c r="M121" s="13">
        <f t="shared" si="16"/>
        <v>-42147.454049780499</v>
      </c>
    </row>
    <row r="122" spans="2:19" x14ac:dyDescent="0.2">
      <c r="B122" s="2">
        <v>112</v>
      </c>
      <c r="C122" s="13">
        <f t="shared" si="17"/>
        <v>4172881.094681425</v>
      </c>
      <c r="D122" s="119">
        <f t="shared" si="18"/>
        <v>0.01</v>
      </c>
      <c r="E122" s="13">
        <f t="shared" si="19"/>
        <v>41728.81094681425</v>
      </c>
      <c r="F122" s="13">
        <f t="shared" si="20"/>
        <v>-84011.764346405966</v>
      </c>
      <c r="G122" s="13">
        <f t="shared" si="21"/>
        <v>4130598.1412818339</v>
      </c>
      <c r="I122" s="120">
        <f t="shared" si="13"/>
        <v>0.50329800508945732</v>
      </c>
      <c r="J122" s="120">
        <f t="shared" si="14"/>
        <v>0.49670199491054273</v>
      </c>
      <c r="L122" s="13">
        <f t="shared" si="15"/>
        <v>-42282.953399591715</v>
      </c>
      <c r="M122" s="13">
        <f t="shared" si="16"/>
        <v>-41728.81094681425</v>
      </c>
    </row>
    <row r="123" spans="2:19" x14ac:dyDescent="0.2">
      <c r="B123" s="2">
        <v>113</v>
      </c>
      <c r="C123" s="13">
        <f t="shared" si="17"/>
        <v>4130598.1412818339</v>
      </c>
      <c r="D123" s="119">
        <f t="shared" si="18"/>
        <v>0.01</v>
      </c>
      <c r="E123" s="13">
        <f t="shared" si="19"/>
        <v>41305.981412818343</v>
      </c>
      <c r="F123" s="13">
        <f t="shared" si="20"/>
        <v>-84011.764346405966</v>
      </c>
      <c r="G123" s="13">
        <f t="shared" si="21"/>
        <v>4087892.3583482462</v>
      </c>
      <c r="I123" s="120">
        <f t="shared" si="13"/>
        <v>0.50833098514035169</v>
      </c>
      <c r="J123" s="120">
        <f t="shared" si="14"/>
        <v>0.49166901485964826</v>
      </c>
      <c r="L123" s="13">
        <f t="shared" si="15"/>
        <v>-42705.782933587623</v>
      </c>
      <c r="M123" s="13">
        <f t="shared" si="16"/>
        <v>-41305.981412818343</v>
      </c>
    </row>
    <row r="124" spans="2:19" x14ac:dyDescent="0.2">
      <c r="B124" s="2">
        <v>114</v>
      </c>
      <c r="C124" s="13">
        <f t="shared" si="17"/>
        <v>4087892.3583482462</v>
      </c>
      <c r="D124" s="119">
        <f t="shared" si="18"/>
        <v>0.01</v>
      </c>
      <c r="E124" s="13">
        <f t="shared" si="19"/>
        <v>40878.923583482465</v>
      </c>
      <c r="F124" s="13">
        <f t="shared" si="20"/>
        <v>-84011.764346405966</v>
      </c>
      <c r="G124" s="13">
        <f t="shared" si="21"/>
        <v>4044759.5175853227</v>
      </c>
      <c r="I124" s="120">
        <f t="shared" si="13"/>
        <v>0.51341429499175528</v>
      </c>
      <c r="J124" s="120">
        <f t="shared" si="14"/>
        <v>0.48658570500824472</v>
      </c>
      <c r="L124" s="13">
        <f t="shared" si="15"/>
        <v>-43132.840762923501</v>
      </c>
      <c r="M124" s="13">
        <f t="shared" si="16"/>
        <v>-40878.923583482465</v>
      </c>
    </row>
    <row r="125" spans="2:19" x14ac:dyDescent="0.2">
      <c r="B125" s="2">
        <v>115</v>
      </c>
      <c r="C125" s="13">
        <f t="shared" si="17"/>
        <v>4044759.5175853227</v>
      </c>
      <c r="D125" s="119">
        <f t="shared" si="18"/>
        <v>0.01</v>
      </c>
      <c r="E125" s="13">
        <f t="shared" si="19"/>
        <v>40447.595175853225</v>
      </c>
      <c r="F125" s="13">
        <f t="shared" si="20"/>
        <v>-84011.764346405966</v>
      </c>
      <c r="G125" s="13">
        <f t="shared" si="21"/>
        <v>4001195.3484147699</v>
      </c>
      <c r="I125" s="120">
        <f t="shared" si="13"/>
        <v>0.51854843794167294</v>
      </c>
      <c r="J125" s="120">
        <f t="shared" si="14"/>
        <v>0.48145156205832712</v>
      </c>
      <c r="L125" s="13">
        <f t="shared" si="15"/>
        <v>-43564.169170552741</v>
      </c>
      <c r="M125" s="13">
        <f t="shared" si="16"/>
        <v>-40447.595175853225</v>
      </c>
    </row>
    <row r="126" spans="2:19" x14ac:dyDescent="0.2">
      <c r="B126" s="2">
        <v>116</v>
      </c>
      <c r="C126" s="13">
        <f t="shared" si="17"/>
        <v>4001195.3484147699</v>
      </c>
      <c r="D126" s="119">
        <f t="shared" si="18"/>
        <v>0.01</v>
      </c>
      <c r="E126" s="13">
        <f t="shared" si="19"/>
        <v>40011.9534841477</v>
      </c>
      <c r="F126" s="13">
        <f t="shared" si="20"/>
        <v>-84011.764346405966</v>
      </c>
      <c r="G126" s="13">
        <f t="shared" si="21"/>
        <v>3957195.5375525118</v>
      </c>
      <c r="I126" s="120">
        <f t="shared" si="13"/>
        <v>0.52373392232108962</v>
      </c>
      <c r="J126" s="120">
        <f t="shared" si="14"/>
        <v>0.47626607767891044</v>
      </c>
      <c r="L126" s="13">
        <f t="shared" si="15"/>
        <v>-43999.810862258266</v>
      </c>
      <c r="M126" s="13">
        <f t="shared" si="16"/>
        <v>-40011.9534841477</v>
      </c>
    </row>
    <row r="127" spans="2:19" x14ac:dyDescent="0.2">
      <c r="B127" s="2">
        <v>117</v>
      </c>
      <c r="C127" s="13">
        <f t="shared" si="17"/>
        <v>3957195.5375525118</v>
      </c>
      <c r="D127" s="119">
        <f t="shared" si="18"/>
        <v>0.01</v>
      </c>
      <c r="E127" s="13">
        <f t="shared" si="19"/>
        <v>39571.955375525118</v>
      </c>
      <c r="F127" s="13">
        <f t="shared" si="20"/>
        <v>-84011.764346405966</v>
      </c>
      <c r="G127" s="13">
        <f t="shared" si="21"/>
        <v>3912755.7285816311</v>
      </c>
      <c r="I127" s="120">
        <f t="shared" si="13"/>
        <v>0.52897126154430052</v>
      </c>
      <c r="J127" s="120">
        <f t="shared" si="14"/>
        <v>0.47102873845569954</v>
      </c>
      <c r="L127" s="13">
        <f t="shared" si="15"/>
        <v>-44439.808970880847</v>
      </c>
      <c r="M127" s="13">
        <f t="shared" si="16"/>
        <v>-39571.955375525118</v>
      </c>
    </row>
    <row r="128" spans="2:19" x14ac:dyDescent="0.2">
      <c r="B128" s="2">
        <v>118</v>
      </c>
      <c r="C128" s="13">
        <f t="shared" si="17"/>
        <v>3912755.7285816311</v>
      </c>
      <c r="D128" s="119">
        <f t="shared" si="18"/>
        <v>0.01</v>
      </c>
      <c r="E128" s="13">
        <f t="shared" si="19"/>
        <v>39127.557285816314</v>
      </c>
      <c r="F128" s="13">
        <f t="shared" si="20"/>
        <v>-84011.764346405966</v>
      </c>
      <c r="G128" s="13">
        <f t="shared" si="21"/>
        <v>3867871.5215210416</v>
      </c>
      <c r="I128" s="120">
        <f t="shared" si="13"/>
        <v>0.53426097415974338</v>
      </c>
      <c r="J128" s="120">
        <f t="shared" si="14"/>
        <v>0.46573902584025656</v>
      </c>
      <c r="L128" s="13">
        <f t="shared" si="15"/>
        <v>-44884.207060589652</v>
      </c>
      <c r="M128" s="13">
        <f t="shared" si="16"/>
        <v>-39127.557285816314</v>
      </c>
    </row>
    <row r="129" spans="2:19" x14ac:dyDescent="0.2">
      <c r="B129" s="2">
        <v>119</v>
      </c>
      <c r="C129" s="13">
        <f t="shared" si="17"/>
        <v>3867871.5215210416</v>
      </c>
      <c r="D129" s="119">
        <f t="shared" si="18"/>
        <v>0.01</v>
      </c>
      <c r="E129" s="13">
        <f t="shared" si="19"/>
        <v>38678.715215210417</v>
      </c>
      <c r="F129" s="13">
        <f t="shared" si="20"/>
        <v>-84011.764346405966</v>
      </c>
      <c r="G129" s="13">
        <f t="shared" si="21"/>
        <v>3822538.4723898461</v>
      </c>
      <c r="I129" s="120">
        <f t="shared" si="13"/>
        <v>0.53960358390134089</v>
      </c>
      <c r="J129" s="120">
        <f t="shared" si="14"/>
        <v>0.46039641609865911</v>
      </c>
      <c r="L129" s="13">
        <f t="shared" si="15"/>
        <v>-45333.049131195548</v>
      </c>
      <c r="M129" s="13">
        <f t="shared" si="16"/>
        <v>-38678.715215210417</v>
      </c>
    </row>
    <row r="130" spans="2:19" x14ac:dyDescent="0.2">
      <c r="B130" s="2">
        <v>120</v>
      </c>
      <c r="C130" s="13">
        <f t="shared" si="17"/>
        <v>3822538.4723898461</v>
      </c>
      <c r="D130" s="119">
        <f t="shared" si="18"/>
        <v>0.01</v>
      </c>
      <c r="E130" s="13">
        <f t="shared" si="19"/>
        <v>38225.38472389846</v>
      </c>
      <c r="F130" s="13">
        <f t="shared" si="20"/>
        <v>-84011.764346405966</v>
      </c>
      <c r="G130" s="13">
        <f t="shared" si="21"/>
        <v>3776752.0927673387</v>
      </c>
      <c r="I130" s="120">
        <f t="shared" si="13"/>
        <v>0.54499961974035427</v>
      </c>
      <c r="J130" s="120">
        <f t="shared" si="14"/>
        <v>0.45500038025964573</v>
      </c>
      <c r="L130" s="13">
        <f t="shared" si="15"/>
        <v>-45786.379622507506</v>
      </c>
      <c r="M130" s="13">
        <f t="shared" si="16"/>
        <v>-38225.38472389846</v>
      </c>
      <c r="R130" s="129">
        <f t="shared" ref="R130:S130" si="26">SUM(L119:L130)</f>
        <v>-520482.54238051694</v>
      </c>
      <c r="S130" s="129">
        <f t="shared" si="26"/>
        <v>-487658.62977635453</v>
      </c>
    </row>
    <row r="131" spans="2:19" x14ac:dyDescent="0.2">
      <c r="B131" s="2">
        <v>121</v>
      </c>
      <c r="C131" s="13">
        <f t="shared" si="17"/>
        <v>3776752.0927673387</v>
      </c>
      <c r="D131" s="119">
        <f t="shared" si="18"/>
        <v>0.01</v>
      </c>
      <c r="E131" s="13">
        <f t="shared" si="19"/>
        <v>37767.520927673388</v>
      </c>
      <c r="F131" s="13">
        <f t="shared" si="20"/>
        <v>-84011.764346405966</v>
      </c>
      <c r="G131" s="13">
        <f t="shared" si="21"/>
        <v>3730507.8493486061</v>
      </c>
      <c r="I131" s="120">
        <f t="shared" si="13"/>
        <v>0.55044961593775776</v>
      </c>
      <c r="J131" s="120">
        <f t="shared" si="14"/>
        <v>0.44955038406224218</v>
      </c>
      <c r="L131" s="13">
        <f t="shared" si="15"/>
        <v>-46244.243418732578</v>
      </c>
      <c r="M131" s="13">
        <f t="shared" si="16"/>
        <v>-37767.520927673388</v>
      </c>
    </row>
    <row r="132" spans="2:19" x14ac:dyDescent="0.2">
      <c r="B132" s="2">
        <v>122</v>
      </c>
      <c r="C132" s="13">
        <f t="shared" si="17"/>
        <v>3730507.8493486061</v>
      </c>
      <c r="D132" s="119">
        <f t="shared" si="18"/>
        <v>0.01</v>
      </c>
      <c r="E132" s="13">
        <f t="shared" si="19"/>
        <v>37305.078493486064</v>
      </c>
      <c r="F132" s="13">
        <f t="shared" si="20"/>
        <v>-84011.764346405966</v>
      </c>
      <c r="G132" s="13">
        <f t="shared" si="21"/>
        <v>3683801.1634956864</v>
      </c>
      <c r="I132" s="120">
        <f t="shared" si="13"/>
        <v>0.55595411209713541</v>
      </c>
      <c r="J132" s="120">
        <f t="shared" si="14"/>
        <v>0.44404588790286464</v>
      </c>
      <c r="L132" s="13">
        <f t="shared" si="15"/>
        <v>-46706.685852919902</v>
      </c>
      <c r="M132" s="13">
        <f t="shared" si="16"/>
        <v>-37305.078493486064</v>
      </c>
    </row>
    <row r="133" spans="2:19" x14ac:dyDescent="0.2">
      <c r="B133" s="2">
        <v>123</v>
      </c>
      <c r="C133" s="13">
        <f t="shared" si="17"/>
        <v>3683801.1634956864</v>
      </c>
      <c r="D133" s="119">
        <f t="shared" si="18"/>
        <v>0.01</v>
      </c>
      <c r="E133" s="13">
        <f t="shared" si="19"/>
        <v>36838.011634956863</v>
      </c>
      <c r="F133" s="13">
        <f t="shared" si="20"/>
        <v>-84011.764346405966</v>
      </c>
      <c r="G133" s="13">
        <f t="shared" si="21"/>
        <v>3636627.4107842376</v>
      </c>
      <c r="I133" s="120">
        <f t="shared" si="13"/>
        <v>0.56151365321810676</v>
      </c>
      <c r="J133" s="120">
        <f t="shared" si="14"/>
        <v>0.4384863467818933</v>
      </c>
      <c r="L133" s="13">
        <f t="shared" si="15"/>
        <v>-47173.752711449102</v>
      </c>
      <c r="M133" s="13">
        <f t="shared" si="16"/>
        <v>-36838.011634956863</v>
      </c>
    </row>
    <row r="134" spans="2:19" x14ac:dyDescent="0.2">
      <c r="B134" s="2">
        <v>124</v>
      </c>
      <c r="C134" s="13">
        <f t="shared" si="17"/>
        <v>3636627.4107842376</v>
      </c>
      <c r="D134" s="119">
        <f t="shared" si="18"/>
        <v>0.01</v>
      </c>
      <c r="E134" s="13">
        <f t="shared" si="19"/>
        <v>36366.274107842379</v>
      </c>
      <c r="F134" s="13">
        <f t="shared" si="20"/>
        <v>-84011.764346405966</v>
      </c>
      <c r="G134" s="13">
        <f t="shared" si="21"/>
        <v>3588981.9205456739</v>
      </c>
      <c r="I134" s="120">
        <f t="shared" si="13"/>
        <v>0.56712878975028769</v>
      </c>
      <c r="J134" s="120">
        <f t="shared" si="14"/>
        <v>0.43287121024971226</v>
      </c>
      <c r="L134" s="13">
        <f t="shared" si="15"/>
        <v>-47645.490238563587</v>
      </c>
      <c r="M134" s="13">
        <f t="shared" si="16"/>
        <v>-36366.274107842379</v>
      </c>
    </row>
    <row r="135" spans="2:19" x14ac:dyDescent="0.2">
      <c r="B135" s="2">
        <v>125</v>
      </c>
      <c r="C135" s="13">
        <f t="shared" si="17"/>
        <v>3588981.9205456739</v>
      </c>
      <c r="D135" s="119">
        <f t="shared" si="18"/>
        <v>0.01</v>
      </c>
      <c r="E135" s="13">
        <f t="shared" si="19"/>
        <v>35889.819205456741</v>
      </c>
      <c r="F135" s="13">
        <f t="shared" si="20"/>
        <v>-84011.764346405966</v>
      </c>
      <c r="G135" s="13">
        <f t="shared" si="21"/>
        <v>3540859.9754047249</v>
      </c>
      <c r="I135" s="120">
        <f t="shared" si="13"/>
        <v>0.57280007764779062</v>
      </c>
      <c r="J135" s="120">
        <f t="shared" si="14"/>
        <v>0.42719992235220938</v>
      </c>
      <c r="L135" s="13">
        <f t="shared" si="15"/>
        <v>-48121.945140949225</v>
      </c>
      <c r="M135" s="13">
        <f t="shared" si="16"/>
        <v>-35889.819205456741</v>
      </c>
    </row>
    <row r="136" spans="2:19" x14ac:dyDescent="0.2">
      <c r="B136" s="2">
        <v>126</v>
      </c>
      <c r="C136" s="13">
        <f t="shared" si="17"/>
        <v>3540859.9754047249</v>
      </c>
      <c r="D136" s="119">
        <f t="shared" si="18"/>
        <v>0.01</v>
      </c>
      <c r="E136" s="13">
        <f t="shared" si="19"/>
        <v>35408.599754047253</v>
      </c>
      <c r="F136" s="13">
        <f t="shared" si="20"/>
        <v>-84011.764346405966</v>
      </c>
      <c r="G136" s="13">
        <f t="shared" si="21"/>
        <v>3492256.8108123662</v>
      </c>
      <c r="I136" s="120">
        <f t="shared" si="13"/>
        <v>0.57852807842426845</v>
      </c>
      <c r="J136" s="120">
        <f t="shared" si="14"/>
        <v>0.42147192157573155</v>
      </c>
      <c r="L136" s="13">
        <f t="shared" si="15"/>
        <v>-48603.164592358713</v>
      </c>
      <c r="M136" s="13">
        <f t="shared" si="16"/>
        <v>-35408.599754047253</v>
      </c>
    </row>
    <row r="137" spans="2:19" x14ac:dyDescent="0.2">
      <c r="B137" s="2">
        <v>127</v>
      </c>
      <c r="C137" s="13">
        <f t="shared" si="17"/>
        <v>3492256.8108123662</v>
      </c>
      <c r="D137" s="119">
        <f t="shared" si="18"/>
        <v>0.01</v>
      </c>
      <c r="E137" s="13">
        <f t="shared" si="19"/>
        <v>34922.568108123662</v>
      </c>
      <c r="F137" s="13">
        <f t="shared" si="20"/>
        <v>-84011.764346405966</v>
      </c>
      <c r="G137" s="13">
        <f t="shared" si="21"/>
        <v>3443167.6145740841</v>
      </c>
      <c r="I137" s="120">
        <f t="shared" si="13"/>
        <v>0.58431335920851124</v>
      </c>
      <c r="J137" s="120">
        <f t="shared" si="14"/>
        <v>0.41568664079148882</v>
      </c>
      <c r="L137" s="13">
        <f t="shared" si="15"/>
        <v>-49089.196238282304</v>
      </c>
      <c r="M137" s="13">
        <f t="shared" si="16"/>
        <v>-34922.568108123662</v>
      </c>
    </row>
    <row r="138" spans="2:19" x14ac:dyDescent="0.2">
      <c r="B138" s="2">
        <v>128</v>
      </c>
      <c r="C138" s="13">
        <f t="shared" si="17"/>
        <v>3443167.6145740841</v>
      </c>
      <c r="D138" s="119">
        <f t="shared" si="18"/>
        <v>0.01</v>
      </c>
      <c r="E138" s="13">
        <f t="shared" si="19"/>
        <v>34431.676145740843</v>
      </c>
      <c r="F138" s="13">
        <f t="shared" si="20"/>
        <v>-84011.764346405966</v>
      </c>
      <c r="G138" s="13">
        <f t="shared" si="21"/>
        <v>3393587.526373419</v>
      </c>
      <c r="I138" s="120">
        <f t="shared" si="13"/>
        <v>0.59015649280059623</v>
      </c>
      <c r="J138" s="120">
        <f t="shared" si="14"/>
        <v>0.40984350719940371</v>
      </c>
      <c r="L138" s="13">
        <f t="shared" si="15"/>
        <v>-49580.088200665123</v>
      </c>
      <c r="M138" s="13">
        <f t="shared" si="16"/>
        <v>-34431.676145740843</v>
      </c>
    </row>
    <row r="139" spans="2:19" x14ac:dyDescent="0.2">
      <c r="B139" s="2">
        <v>129</v>
      </c>
      <c r="C139" s="13">
        <f t="shared" si="17"/>
        <v>3393587.526373419</v>
      </c>
      <c r="D139" s="119">
        <f t="shared" si="18"/>
        <v>0.01</v>
      </c>
      <c r="E139" s="13">
        <f t="shared" si="19"/>
        <v>33935.87526373419</v>
      </c>
      <c r="F139" s="13">
        <f t="shared" si="20"/>
        <v>-84011.764346405966</v>
      </c>
      <c r="G139" s="13">
        <f t="shared" si="21"/>
        <v>3343511.6372907474</v>
      </c>
      <c r="I139" s="120">
        <f t="shared" si="13"/>
        <v>0.59605805772860221</v>
      </c>
      <c r="J139" s="120">
        <f t="shared" si="14"/>
        <v>0.40394194227139774</v>
      </c>
      <c r="L139" s="13">
        <f t="shared" si="15"/>
        <v>-50075.889082671776</v>
      </c>
      <c r="M139" s="13">
        <f t="shared" si="16"/>
        <v>-33935.87526373419</v>
      </c>
    </row>
    <row r="140" spans="2:19" x14ac:dyDescent="0.2">
      <c r="B140" s="2">
        <v>130</v>
      </c>
      <c r="C140" s="13">
        <f t="shared" si="17"/>
        <v>3343511.6372907474</v>
      </c>
      <c r="D140" s="119">
        <f t="shared" si="18"/>
        <v>0.01</v>
      </c>
      <c r="E140" s="13">
        <f t="shared" si="19"/>
        <v>33435.116372907476</v>
      </c>
      <c r="F140" s="13">
        <f t="shared" si="20"/>
        <v>-84011.764346405966</v>
      </c>
      <c r="G140" s="13">
        <f t="shared" si="21"/>
        <v>3292934.989317249</v>
      </c>
      <c r="I140" s="120">
        <f t="shared" ref="I140:I203" si="27">IF(B140&gt;$D$6*12,0,L140/(L140+M140))</f>
        <v>0.6020186383058882</v>
      </c>
      <c r="J140" s="120">
        <f t="shared" ref="J140:J203" si="28">IF(B140&gt;$D$6*12,0,M140/(L140+M140))</f>
        <v>0.39798136169411175</v>
      </c>
      <c r="L140" s="13">
        <f t="shared" ref="L140:L203" si="29">IF(B140&gt;$D$6*12,0,F140+E140)</f>
        <v>-50576.64797349849</v>
      </c>
      <c r="M140" s="13">
        <f t="shared" ref="M140:M203" si="30">IF(B140&gt;$D$6*12,0,-E140)</f>
        <v>-33435.116372907476</v>
      </c>
    </row>
    <row r="141" spans="2:19" x14ac:dyDescent="0.2">
      <c r="B141" s="2">
        <v>131</v>
      </c>
      <c r="C141" s="13">
        <f t="shared" ref="C141:C204" si="31">IF(B141&gt;$D$6*12,0,G140)</f>
        <v>3292934.989317249</v>
      </c>
      <c r="D141" s="119">
        <f t="shared" ref="D141:D204" si="32">IF(B141&gt;$D$6*12,0,D140)</f>
        <v>0.01</v>
      </c>
      <c r="E141" s="13">
        <f t="shared" ref="E141:E204" si="33">IF(B141&gt;$D$6*12,0,D141*C141)</f>
        <v>32929.34989317249</v>
      </c>
      <c r="F141" s="13">
        <f t="shared" ref="F141:F204" si="34">IF(B141&gt;$D$6*12,0,F140)</f>
        <v>-84011.764346405966</v>
      </c>
      <c r="G141" s="13">
        <f t="shared" ref="G141:G204" si="35">IF(B141&gt;$D$6*12,0,C141+E141+F141)</f>
        <v>3241852.5748640154</v>
      </c>
      <c r="I141" s="120">
        <f t="shared" si="27"/>
        <v>0.6080388246889471</v>
      </c>
      <c r="J141" s="120">
        <f t="shared" si="28"/>
        <v>0.39196117531105285</v>
      </c>
      <c r="L141" s="13">
        <f t="shared" si="29"/>
        <v>-51082.414453233476</v>
      </c>
      <c r="M141" s="13">
        <f t="shared" si="30"/>
        <v>-32929.34989317249</v>
      </c>
    </row>
    <row r="142" spans="2:19" x14ac:dyDescent="0.2">
      <c r="B142" s="2">
        <v>132</v>
      </c>
      <c r="C142" s="13">
        <f t="shared" si="31"/>
        <v>3241852.5748640154</v>
      </c>
      <c r="D142" s="119">
        <f t="shared" si="32"/>
        <v>0.01</v>
      </c>
      <c r="E142" s="13">
        <f t="shared" si="33"/>
        <v>32418.525748640157</v>
      </c>
      <c r="F142" s="13">
        <f t="shared" si="34"/>
        <v>-84011.764346405966</v>
      </c>
      <c r="G142" s="13">
        <f t="shared" si="35"/>
        <v>3190259.3362662499</v>
      </c>
      <c r="I142" s="120">
        <f t="shared" si="27"/>
        <v>0.6141192129358366</v>
      </c>
      <c r="J142" s="120">
        <f t="shared" si="28"/>
        <v>0.3858807870641634</v>
      </c>
      <c r="L142" s="13">
        <f t="shared" si="29"/>
        <v>-51593.238597765812</v>
      </c>
      <c r="M142" s="13">
        <f t="shared" si="30"/>
        <v>-32418.525748640157</v>
      </c>
      <c r="R142" s="129">
        <f t="shared" ref="R142:S142" si="36">SUM(L131:L142)</f>
        <v>-586492.75650109013</v>
      </c>
      <c r="S142" s="129">
        <f t="shared" si="36"/>
        <v>-421648.41565578157</v>
      </c>
    </row>
    <row r="143" spans="2:19" x14ac:dyDescent="0.2">
      <c r="B143" s="2">
        <v>133</v>
      </c>
      <c r="C143" s="13">
        <f t="shared" si="31"/>
        <v>3190259.3362662499</v>
      </c>
      <c r="D143" s="119">
        <f t="shared" si="32"/>
        <v>0.01</v>
      </c>
      <c r="E143" s="13">
        <f t="shared" si="33"/>
        <v>31902.593362662501</v>
      </c>
      <c r="F143" s="13">
        <f t="shared" si="34"/>
        <v>-84011.764346405966</v>
      </c>
      <c r="G143" s="13">
        <f t="shared" si="35"/>
        <v>3138150.1652825065</v>
      </c>
      <c r="I143" s="120">
        <f t="shared" si="27"/>
        <v>0.62026040506519486</v>
      </c>
      <c r="J143" s="120">
        <f t="shared" si="28"/>
        <v>0.37973959493480508</v>
      </c>
      <c r="L143" s="13">
        <f t="shared" si="29"/>
        <v>-52109.170983743461</v>
      </c>
      <c r="M143" s="13">
        <f t="shared" si="30"/>
        <v>-31902.593362662501</v>
      </c>
    </row>
    <row r="144" spans="2:19" x14ac:dyDescent="0.2">
      <c r="B144" s="2">
        <v>134</v>
      </c>
      <c r="C144" s="13">
        <f t="shared" si="31"/>
        <v>3138150.1652825065</v>
      </c>
      <c r="D144" s="119">
        <f t="shared" si="32"/>
        <v>0.01</v>
      </c>
      <c r="E144" s="13">
        <f t="shared" si="33"/>
        <v>31381.501652825067</v>
      </c>
      <c r="F144" s="13">
        <f t="shared" si="34"/>
        <v>-84011.764346405966</v>
      </c>
      <c r="G144" s="13">
        <f t="shared" si="35"/>
        <v>3085519.9025889258</v>
      </c>
      <c r="I144" s="120">
        <f t="shared" si="27"/>
        <v>0.62646300911584685</v>
      </c>
      <c r="J144" s="120">
        <f t="shared" si="28"/>
        <v>0.37353699088415315</v>
      </c>
      <c r="L144" s="13">
        <f t="shared" si="29"/>
        <v>-52630.262693580895</v>
      </c>
      <c r="M144" s="13">
        <f t="shared" si="30"/>
        <v>-31381.501652825067</v>
      </c>
    </row>
    <row r="145" spans="2:19" x14ac:dyDescent="0.2">
      <c r="B145" s="2">
        <v>135</v>
      </c>
      <c r="C145" s="13">
        <f t="shared" si="31"/>
        <v>3085519.9025889258</v>
      </c>
      <c r="D145" s="119">
        <f t="shared" si="32"/>
        <v>0.01</v>
      </c>
      <c r="E145" s="13">
        <f t="shared" si="33"/>
        <v>30855.199025889258</v>
      </c>
      <c r="F145" s="13">
        <f t="shared" si="34"/>
        <v>-84011.764346405966</v>
      </c>
      <c r="G145" s="13">
        <f t="shared" si="35"/>
        <v>3032363.3372684093</v>
      </c>
      <c r="I145" s="120">
        <f t="shared" si="27"/>
        <v>0.63272763920700525</v>
      </c>
      <c r="J145" s="120">
        <f t="shared" si="28"/>
        <v>0.36727236079299469</v>
      </c>
      <c r="L145" s="13">
        <f t="shared" si="29"/>
        <v>-53156.565320516704</v>
      </c>
      <c r="M145" s="13">
        <f t="shared" si="30"/>
        <v>-30855.199025889258</v>
      </c>
    </row>
    <row r="146" spans="2:19" x14ac:dyDescent="0.2">
      <c r="B146" s="2">
        <v>136</v>
      </c>
      <c r="C146" s="13">
        <f t="shared" si="31"/>
        <v>3032363.3372684093</v>
      </c>
      <c r="D146" s="119">
        <f t="shared" si="32"/>
        <v>0.01</v>
      </c>
      <c r="E146" s="13">
        <f t="shared" si="33"/>
        <v>30323.633372684093</v>
      </c>
      <c r="F146" s="13">
        <f t="shared" si="34"/>
        <v>-84011.764346405966</v>
      </c>
      <c r="G146" s="13">
        <f t="shared" si="35"/>
        <v>2978675.2062946875</v>
      </c>
      <c r="I146" s="120">
        <f t="shared" si="27"/>
        <v>0.63905491559907535</v>
      </c>
      <c r="J146" s="120">
        <f t="shared" si="28"/>
        <v>0.36094508440092465</v>
      </c>
      <c r="L146" s="13">
        <f t="shared" si="29"/>
        <v>-53688.130973721869</v>
      </c>
      <c r="M146" s="13">
        <f t="shared" si="30"/>
        <v>-30323.633372684093</v>
      </c>
    </row>
    <row r="147" spans="2:19" x14ac:dyDescent="0.2">
      <c r="B147" s="2">
        <v>137</v>
      </c>
      <c r="C147" s="13">
        <f t="shared" si="31"/>
        <v>2978675.2062946875</v>
      </c>
      <c r="D147" s="119">
        <f t="shared" si="32"/>
        <v>0.01</v>
      </c>
      <c r="E147" s="13">
        <f t="shared" si="33"/>
        <v>29786.752062946875</v>
      </c>
      <c r="F147" s="13">
        <f t="shared" si="34"/>
        <v>-84011.764346405966</v>
      </c>
      <c r="G147" s="13">
        <f t="shared" si="35"/>
        <v>2924450.1940112286</v>
      </c>
      <c r="I147" s="120">
        <f t="shared" si="27"/>
        <v>0.64544546475506603</v>
      </c>
      <c r="J147" s="120">
        <f t="shared" si="28"/>
        <v>0.35455453524493391</v>
      </c>
      <c r="L147" s="13">
        <f t="shared" si="29"/>
        <v>-54225.012283459087</v>
      </c>
      <c r="M147" s="13">
        <f t="shared" si="30"/>
        <v>-29786.752062946875</v>
      </c>
    </row>
    <row r="148" spans="2:19" x14ac:dyDescent="0.2">
      <c r="B148" s="2">
        <v>138</v>
      </c>
      <c r="C148" s="13">
        <f t="shared" si="31"/>
        <v>2924450.1940112286</v>
      </c>
      <c r="D148" s="119">
        <f t="shared" si="32"/>
        <v>0.01</v>
      </c>
      <c r="E148" s="13">
        <f t="shared" si="33"/>
        <v>29244.501940112288</v>
      </c>
      <c r="F148" s="13">
        <f t="shared" si="34"/>
        <v>-84011.764346405966</v>
      </c>
      <c r="G148" s="13">
        <f t="shared" si="35"/>
        <v>2869682.9316049349</v>
      </c>
      <c r="I148" s="120">
        <f t="shared" si="27"/>
        <v>0.65189991940261671</v>
      </c>
      <c r="J148" s="120">
        <f t="shared" si="28"/>
        <v>0.34810008059738329</v>
      </c>
      <c r="L148" s="13">
        <f t="shared" si="29"/>
        <v>-54767.262406293681</v>
      </c>
      <c r="M148" s="13">
        <f t="shared" si="30"/>
        <v>-29244.501940112288</v>
      </c>
    </row>
    <row r="149" spans="2:19" x14ac:dyDescent="0.2">
      <c r="B149" s="2">
        <v>139</v>
      </c>
      <c r="C149" s="13">
        <f t="shared" si="31"/>
        <v>2869682.9316049349</v>
      </c>
      <c r="D149" s="119">
        <f t="shared" si="32"/>
        <v>0.01</v>
      </c>
      <c r="E149" s="13">
        <f t="shared" si="33"/>
        <v>28696.829316049349</v>
      </c>
      <c r="F149" s="13">
        <f t="shared" si="34"/>
        <v>-84011.764346405966</v>
      </c>
      <c r="G149" s="13">
        <f t="shared" si="35"/>
        <v>2814367.9965745783</v>
      </c>
      <c r="I149" s="120">
        <f t="shared" si="27"/>
        <v>0.65841891859664292</v>
      </c>
      <c r="J149" s="120">
        <f t="shared" si="28"/>
        <v>0.34158108140335708</v>
      </c>
      <c r="L149" s="13">
        <f t="shared" si="29"/>
        <v>-55314.935030356617</v>
      </c>
      <c r="M149" s="13">
        <f t="shared" si="30"/>
        <v>-28696.829316049349</v>
      </c>
    </row>
    <row r="150" spans="2:19" x14ac:dyDescent="0.2">
      <c r="B150" s="2">
        <v>140</v>
      </c>
      <c r="C150" s="13">
        <f t="shared" si="31"/>
        <v>2814367.9965745783</v>
      </c>
      <c r="D150" s="119">
        <f t="shared" si="32"/>
        <v>0.01</v>
      </c>
      <c r="E150" s="13">
        <f t="shared" si="33"/>
        <v>28143.679965745785</v>
      </c>
      <c r="F150" s="13">
        <f t="shared" si="34"/>
        <v>-84011.764346405966</v>
      </c>
      <c r="G150" s="13">
        <f t="shared" si="35"/>
        <v>2758499.9121939181</v>
      </c>
      <c r="I150" s="120">
        <f t="shared" si="27"/>
        <v>0.66500310778260929</v>
      </c>
      <c r="J150" s="120">
        <f t="shared" si="28"/>
        <v>0.33499689221739071</v>
      </c>
      <c r="L150" s="13">
        <f t="shared" si="29"/>
        <v>-55868.084380660177</v>
      </c>
      <c r="M150" s="13">
        <f t="shared" si="30"/>
        <v>-28143.679965745785</v>
      </c>
    </row>
    <row r="151" spans="2:19" x14ac:dyDescent="0.2">
      <c r="B151" s="2">
        <v>141</v>
      </c>
      <c r="C151" s="13">
        <f t="shared" si="31"/>
        <v>2758499.9121939181</v>
      </c>
      <c r="D151" s="119">
        <f t="shared" si="32"/>
        <v>0.01</v>
      </c>
      <c r="E151" s="13">
        <f t="shared" si="33"/>
        <v>27584.999121939181</v>
      </c>
      <c r="F151" s="13">
        <f t="shared" si="34"/>
        <v>-84011.764346405966</v>
      </c>
      <c r="G151" s="13">
        <f t="shared" si="35"/>
        <v>2702073.1469694516</v>
      </c>
      <c r="I151" s="120">
        <f t="shared" si="27"/>
        <v>0.67165313886043543</v>
      </c>
      <c r="J151" s="120">
        <f t="shared" si="28"/>
        <v>0.32834686113956457</v>
      </c>
      <c r="L151" s="13">
        <f t="shared" si="29"/>
        <v>-56426.765224466784</v>
      </c>
      <c r="M151" s="13">
        <f t="shared" si="30"/>
        <v>-27584.999121939181</v>
      </c>
    </row>
    <row r="152" spans="2:19" x14ac:dyDescent="0.2">
      <c r="B152" s="2">
        <v>142</v>
      </c>
      <c r="C152" s="13">
        <f t="shared" si="31"/>
        <v>2702073.1469694516</v>
      </c>
      <c r="D152" s="119">
        <f t="shared" si="32"/>
        <v>0.01</v>
      </c>
      <c r="E152" s="13">
        <f t="shared" si="33"/>
        <v>27020.731469694518</v>
      </c>
      <c r="F152" s="13">
        <f t="shared" si="34"/>
        <v>-84011.764346405966</v>
      </c>
      <c r="G152" s="13">
        <f t="shared" si="35"/>
        <v>2645082.1140927402</v>
      </c>
      <c r="I152" s="120">
        <f t="shared" si="27"/>
        <v>0.67836967024903971</v>
      </c>
      <c r="J152" s="120">
        <f t="shared" si="28"/>
        <v>0.32163032975096029</v>
      </c>
      <c r="L152" s="13">
        <f t="shared" si="29"/>
        <v>-56991.032876711448</v>
      </c>
      <c r="M152" s="13">
        <f t="shared" si="30"/>
        <v>-27020.731469694518</v>
      </c>
    </row>
    <row r="153" spans="2:19" x14ac:dyDescent="0.2">
      <c r="B153" s="2">
        <v>143</v>
      </c>
      <c r="C153" s="13">
        <f t="shared" si="31"/>
        <v>2645082.1140927402</v>
      </c>
      <c r="D153" s="119">
        <f t="shared" si="32"/>
        <v>0.01</v>
      </c>
      <c r="E153" s="13">
        <f t="shared" si="33"/>
        <v>26450.821140927404</v>
      </c>
      <c r="F153" s="13">
        <f t="shared" si="34"/>
        <v>-84011.764346405966</v>
      </c>
      <c r="G153" s="13">
        <f t="shared" si="35"/>
        <v>2587521.1708872616</v>
      </c>
      <c r="I153" s="120">
        <f t="shared" si="27"/>
        <v>0.68515336695153006</v>
      </c>
      <c r="J153" s="120">
        <f t="shared" si="28"/>
        <v>0.31484663304846988</v>
      </c>
      <c r="L153" s="13">
        <f t="shared" si="29"/>
        <v>-57560.943205478558</v>
      </c>
      <c r="M153" s="13">
        <f t="shared" si="30"/>
        <v>-26450.821140927404</v>
      </c>
    </row>
    <row r="154" spans="2:19" x14ac:dyDescent="0.2">
      <c r="B154" s="2">
        <v>144</v>
      </c>
      <c r="C154" s="13">
        <f t="shared" si="31"/>
        <v>2587521.1708872616</v>
      </c>
      <c r="D154" s="119">
        <f t="shared" si="32"/>
        <v>0.01</v>
      </c>
      <c r="E154" s="13">
        <f t="shared" si="33"/>
        <v>25875.211708872615</v>
      </c>
      <c r="F154" s="13">
        <f t="shared" si="34"/>
        <v>-84011.764346405966</v>
      </c>
      <c r="G154" s="13">
        <f t="shared" si="35"/>
        <v>2529384.6182497283</v>
      </c>
      <c r="I154" s="120">
        <f t="shared" si="27"/>
        <v>0.69200490062104547</v>
      </c>
      <c r="J154" s="120">
        <f t="shared" si="28"/>
        <v>0.30799509937895453</v>
      </c>
      <c r="L154" s="13">
        <f t="shared" si="29"/>
        <v>-58136.55263753335</v>
      </c>
      <c r="M154" s="13">
        <f t="shared" si="30"/>
        <v>-25875.211708872615</v>
      </c>
      <c r="R154" s="129">
        <f t="shared" ref="R154:S154" si="37">SUM(L143:L154)</f>
        <v>-660874.71801652282</v>
      </c>
      <c r="S154" s="129">
        <f t="shared" si="37"/>
        <v>-347266.45414034894</v>
      </c>
    </row>
    <row r="155" spans="2:19" x14ac:dyDescent="0.2">
      <c r="B155" s="2">
        <v>145</v>
      </c>
      <c r="C155" s="13">
        <f t="shared" si="31"/>
        <v>2529384.6182497283</v>
      </c>
      <c r="D155" s="119">
        <f t="shared" si="32"/>
        <v>0.01</v>
      </c>
      <c r="E155" s="13">
        <f t="shared" si="33"/>
        <v>25293.846182497284</v>
      </c>
      <c r="F155" s="13">
        <f t="shared" si="34"/>
        <v>-84011.764346405966</v>
      </c>
      <c r="G155" s="13">
        <f t="shared" si="35"/>
        <v>2470666.7000858197</v>
      </c>
      <c r="I155" s="120">
        <f t="shared" si="27"/>
        <v>0.69892494962725593</v>
      </c>
      <c r="J155" s="120">
        <f t="shared" si="28"/>
        <v>0.30107505037274412</v>
      </c>
      <c r="L155" s="13">
        <f t="shared" si="29"/>
        <v>-58717.918163908682</v>
      </c>
      <c r="M155" s="13">
        <f t="shared" si="30"/>
        <v>-25293.846182497284</v>
      </c>
    </row>
    <row r="156" spans="2:19" x14ac:dyDescent="0.2">
      <c r="B156" s="2">
        <v>146</v>
      </c>
      <c r="C156" s="13">
        <f t="shared" si="31"/>
        <v>2470666.7000858197</v>
      </c>
      <c r="D156" s="119">
        <f t="shared" si="32"/>
        <v>0.01</v>
      </c>
      <c r="E156" s="13">
        <f t="shared" si="33"/>
        <v>24706.667000858197</v>
      </c>
      <c r="F156" s="13">
        <f t="shared" si="34"/>
        <v>-84011.764346405966</v>
      </c>
      <c r="G156" s="13">
        <f t="shared" si="35"/>
        <v>2411361.6027402719</v>
      </c>
      <c r="I156" s="120">
        <f t="shared" si="27"/>
        <v>0.70591419912352837</v>
      </c>
      <c r="J156" s="120">
        <f t="shared" si="28"/>
        <v>0.29408580087647157</v>
      </c>
      <c r="L156" s="13">
        <f t="shared" si="29"/>
        <v>-59305.097345547765</v>
      </c>
      <c r="M156" s="13">
        <f t="shared" si="30"/>
        <v>-24706.667000858197</v>
      </c>
    </row>
    <row r="157" spans="2:19" x14ac:dyDescent="0.2">
      <c r="B157" s="2">
        <v>147</v>
      </c>
      <c r="C157" s="13">
        <f t="shared" si="31"/>
        <v>2411361.6027402719</v>
      </c>
      <c r="D157" s="119">
        <f t="shared" si="32"/>
        <v>0.01</v>
      </c>
      <c r="E157" s="13">
        <f t="shared" si="33"/>
        <v>24113.616027402721</v>
      </c>
      <c r="F157" s="13">
        <f t="shared" si="34"/>
        <v>-84011.764346405966</v>
      </c>
      <c r="G157" s="13">
        <f t="shared" si="35"/>
        <v>2351463.4544212688</v>
      </c>
      <c r="I157" s="120">
        <f t="shared" si="27"/>
        <v>0.71297334111476374</v>
      </c>
      <c r="J157" s="120">
        <f t="shared" si="28"/>
        <v>0.28702665888523626</v>
      </c>
      <c r="L157" s="13">
        <f t="shared" si="29"/>
        <v>-59898.148319003245</v>
      </c>
      <c r="M157" s="13">
        <f t="shared" si="30"/>
        <v>-24113.616027402721</v>
      </c>
    </row>
    <row r="158" spans="2:19" x14ac:dyDescent="0.2">
      <c r="B158" s="2">
        <v>148</v>
      </c>
      <c r="C158" s="13">
        <f t="shared" si="31"/>
        <v>2351463.4544212688</v>
      </c>
      <c r="D158" s="119">
        <f t="shared" si="32"/>
        <v>0.01</v>
      </c>
      <c r="E158" s="13">
        <f t="shared" si="33"/>
        <v>23514.634544212688</v>
      </c>
      <c r="F158" s="13">
        <f t="shared" si="34"/>
        <v>-84011.764346405966</v>
      </c>
      <c r="G158" s="13">
        <f t="shared" si="35"/>
        <v>2290966.3246190757</v>
      </c>
      <c r="I158" s="120">
        <f t="shared" si="27"/>
        <v>0.72010307452591127</v>
      </c>
      <c r="J158" s="120">
        <f t="shared" si="28"/>
        <v>0.27989692547408862</v>
      </c>
      <c r="L158" s="13">
        <f t="shared" si="29"/>
        <v>-60497.129802193274</v>
      </c>
      <c r="M158" s="13">
        <f t="shared" si="30"/>
        <v>-23514.634544212688</v>
      </c>
    </row>
    <row r="159" spans="2:19" x14ac:dyDescent="0.2">
      <c r="B159" s="2">
        <v>149</v>
      </c>
      <c r="C159" s="13">
        <f t="shared" si="31"/>
        <v>2290966.3246190757</v>
      </c>
      <c r="D159" s="119">
        <f t="shared" si="32"/>
        <v>0.01</v>
      </c>
      <c r="E159" s="13">
        <f t="shared" si="33"/>
        <v>22909.663246190757</v>
      </c>
      <c r="F159" s="13">
        <f t="shared" si="34"/>
        <v>-84011.764346405966</v>
      </c>
      <c r="G159" s="13">
        <f t="shared" si="35"/>
        <v>2229864.2235188605</v>
      </c>
      <c r="I159" s="120">
        <f t="shared" si="27"/>
        <v>0.7273041052711704</v>
      </c>
      <c r="J159" s="120">
        <f t="shared" si="28"/>
        <v>0.27269589472882955</v>
      </c>
      <c r="L159" s="13">
        <f t="shared" si="29"/>
        <v>-61102.101100215208</v>
      </c>
      <c r="M159" s="13">
        <f t="shared" si="30"/>
        <v>-22909.663246190757</v>
      </c>
    </row>
    <row r="160" spans="2:19" x14ac:dyDescent="0.2">
      <c r="B160" s="2">
        <v>150</v>
      </c>
      <c r="C160" s="13">
        <f t="shared" si="31"/>
        <v>2229864.2235188605</v>
      </c>
      <c r="D160" s="119">
        <f t="shared" si="32"/>
        <v>0.01</v>
      </c>
      <c r="E160" s="13">
        <f t="shared" si="33"/>
        <v>22298.642235188607</v>
      </c>
      <c r="F160" s="13">
        <f t="shared" si="34"/>
        <v>-84011.764346405966</v>
      </c>
      <c r="G160" s="13">
        <f t="shared" si="35"/>
        <v>2168151.1014076434</v>
      </c>
      <c r="I160" s="120">
        <f t="shared" si="27"/>
        <v>0.73457714632388216</v>
      </c>
      <c r="J160" s="120">
        <f t="shared" si="28"/>
        <v>0.26542285367611784</v>
      </c>
      <c r="L160" s="13">
        <f t="shared" si="29"/>
        <v>-61713.122111217359</v>
      </c>
      <c r="M160" s="13">
        <f t="shared" si="30"/>
        <v>-22298.642235188607</v>
      </c>
    </row>
    <row r="161" spans="2:19" x14ac:dyDescent="0.2">
      <c r="B161" s="2">
        <v>151</v>
      </c>
      <c r="C161" s="13">
        <f t="shared" si="31"/>
        <v>2168151.1014076434</v>
      </c>
      <c r="D161" s="119">
        <f t="shared" si="32"/>
        <v>0.01</v>
      </c>
      <c r="E161" s="13">
        <f t="shared" si="33"/>
        <v>21681.511014076434</v>
      </c>
      <c r="F161" s="13">
        <f t="shared" si="34"/>
        <v>-84011.764346405966</v>
      </c>
      <c r="G161" s="13">
        <f t="shared" si="35"/>
        <v>2105820.848075314</v>
      </c>
      <c r="I161" s="120">
        <f t="shared" si="27"/>
        <v>0.74192291778712094</v>
      </c>
      <c r="J161" s="120">
        <f t="shared" si="28"/>
        <v>0.25807708221287906</v>
      </c>
      <c r="L161" s="13">
        <f t="shared" si="29"/>
        <v>-62330.253332329536</v>
      </c>
      <c r="M161" s="13">
        <f t="shared" si="30"/>
        <v>-21681.511014076434</v>
      </c>
    </row>
    <row r="162" spans="2:19" x14ac:dyDescent="0.2">
      <c r="B162" s="2">
        <v>152</v>
      </c>
      <c r="C162" s="13">
        <f t="shared" si="31"/>
        <v>2105820.848075314</v>
      </c>
      <c r="D162" s="119">
        <f t="shared" si="32"/>
        <v>0.01</v>
      </c>
      <c r="E162" s="13">
        <f t="shared" si="33"/>
        <v>21058.208480753139</v>
      </c>
      <c r="F162" s="13">
        <f t="shared" si="34"/>
        <v>-84011.764346405966</v>
      </c>
      <c r="G162" s="13">
        <f t="shared" si="35"/>
        <v>2042867.2922096611</v>
      </c>
      <c r="I162" s="120">
        <f t="shared" si="27"/>
        <v>0.74934214696499224</v>
      </c>
      <c r="J162" s="120">
        <f t="shared" si="28"/>
        <v>0.25065785303500787</v>
      </c>
      <c r="L162" s="13">
        <f t="shared" si="29"/>
        <v>-62953.55586565283</v>
      </c>
      <c r="M162" s="13">
        <f t="shared" si="30"/>
        <v>-21058.208480753139</v>
      </c>
    </row>
    <row r="163" spans="2:19" x14ac:dyDescent="0.2">
      <c r="B163" s="2">
        <v>153</v>
      </c>
      <c r="C163" s="13">
        <f t="shared" si="31"/>
        <v>2042867.2922096611</v>
      </c>
      <c r="D163" s="119">
        <f t="shared" si="32"/>
        <v>0.01</v>
      </c>
      <c r="E163" s="13">
        <f t="shared" si="33"/>
        <v>20428.672922096612</v>
      </c>
      <c r="F163" s="13">
        <f t="shared" si="34"/>
        <v>-84011.764346405966</v>
      </c>
      <c r="G163" s="13">
        <f t="shared" si="35"/>
        <v>1979284.2007853519</v>
      </c>
      <c r="I163" s="120">
        <f t="shared" si="27"/>
        <v>0.75683556843464206</v>
      </c>
      <c r="J163" s="120">
        <f t="shared" si="28"/>
        <v>0.24316443156535794</v>
      </c>
      <c r="L163" s="13">
        <f t="shared" si="29"/>
        <v>-63583.091424309358</v>
      </c>
      <c r="M163" s="13">
        <f t="shared" si="30"/>
        <v>-20428.672922096612</v>
      </c>
    </row>
    <row r="164" spans="2:19" x14ac:dyDescent="0.2">
      <c r="B164" s="2">
        <v>154</v>
      </c>
      <c r="C164" s="13">
        <f t="shared" si="31"/>
        <v>1979284.2007853519</v>
      </c>
      <c r="D164" s="119">
        <f t="shared" si="32"/>
        <v>0.01</v>
      </c>
      <c r="E164" s="13">
        <f t="shared" si="33"/>
        <v>19792.84200785352</v>
      </c>
      <c r="F164" s="13">
        <f t="shared" si="34"/>
        <v>-84011.764346405966</v>
      </c>
      <c r="G164" s="13">
        <f t="shared" si="35"/>
        <v>1915065.2784467996</v>
      </c>
      <c r="I164" s="120">
        <f t="shared" si="27"/>
        <v>0.7644039241189885</v>
      </c>
      <c r="J164" s="120">
        <f t="shared" si="28"/>
        <v>0.23559607588101156</v>
      </c>
      <c r="L164" s="13">
        <f t="shared" si="29"/>
        <v>-64218.922338552446</v>
      </c>
      <c r="M164" s="13">
        <f t="shared" si="30"/>
        <v>-19792.84200785352</v>
      </c>
    </row>
    <row r="165" spans="2:19" x14ac:dyDescent="0.2">
      <c r="B165" s="2">
        <v>155</v>
      </c>
      <c r="C165" s="13">
        <f t="shared" si="31"/>
        <v>1915065.2784467996</v>
      </c>
      <c r="D165" s="119">
        <f t="shared" si="32"/>
        <v>0.01</v>
      </c>
      <c r="E165" s="13">
        <f t="shared" si="33"/>
        <v>19150.652784467995</v>
      </c>
      <c r="F165" s="13">
        <f t="shared" si="34"/>
        <v>-84011.764346405966</v>
      </c>
      <c r="G165" s="13">
        <f t="shared" si="35"/>
        <v>1850204.1668848617</v>
      </c>
      <c r="I165" s="120">
        <f t="shared" si="27"/>
        <v>0.77204796336017834</v>
      </c>
      <c r="J165" s="120">
        <f t="shared" si="28"/>
        <v>0.22795203663982166</v>
      </c>
      <c r="L165" s="13">
        <f t="shared" si="29"/>
        <v>-64861.111561937971</v>
      </c>
      <c r="M165" s="13">
        <f t="shared" si="30"/>
        <v>-19150.652784467995</v>
      </c>
    </row>
    <row r="166" spans="2:19" x14ac:dyDescent="0.2">
      <c r="B166" s="2">
        <v>156</v>
      </c>
      <c r="C166" s="13">
        <f t="shared" si="31"/>
        <v>1850204.1668848617</v>
      </c>
      <c r="D166" s="119">
        <f t="shared" si="32"/>
        <v>0.01</v>
      </c>
      <c r="E166" s="13">
        <f t="shared" si="33"/>
        <v>18502.041668848618</v>
      </c>
      <c r="F166" s="13">
        <f t="shared" si="34"/>
        <v>-84011.764346405966</v>
      </c>
      <c r="G166" s="13">
        <f t="shared" si="35"/>
        <v>1784694.4442073044</v>
      </c>
      <c r="I166" s="120">
        <f t="shared" si="27"/>
        <v>0.77976844299378012</v>
      </c>
      <c r="J166" s="120">
        <f t="shared" si="28"/>
        <v>0.22023155700621991</v>
      </c>
      <c r="L166" s="13">
        <f t="shared" si="29"/>
        <v>-65509.722677557351</v>
      </c>
      <c r="M166" s="13">
        <f t="shared" si="30"/>
        <v>-18502.041668848618</v>
      </c>
      <c r="R166" s="129">
        <f t="shared" ref="R166:S166" si="38">SUM(L155:L166)</f>
        <v>-744690.17404242512</v>
      </c>
      <c r="S166" s="129">
        <f t="shared" si="38"/>
        <v>-263450.99811444659</v>
      </c>
    </row>
    <row r="167" spans="2:19" x14ac:dyDescent="0.2">
      <c r="B167" s="2">
        <v>157</v>
      </c>
      <c r="C167" s="13">
        <f t="shared" si="31"/>
        <v>1784694.4442073044</v>
      </c>
      <c r="D167" s="119">
        <f t="shared" si="32"/>
        <v>0.01</v>
      </c>
      <c r="E167" s="13">
        <f t="shared" si="33"/>
        <v>17846.944442073043</v>
      </c>
      <c r="F167" s="13">
        <f t="shared" si="34"/>
        <v>-84011.764346405966</v>
      </c>
      <c r="G167" s="13">
        <f t="shared" si="35"/>
        <v>1718529.6243029716</v>
      </c>
      <c r="I167" s="120">
        <f t="shared" si="27"/>
        <v>0.7875661274237179</v>
      </c>
      <c r="J167" s="120">
        <f t="shared" si="28"/>
        <v>0.21243387257628207</v>
      </c>
      <c r="L167" s="13">
        <f t="shared" si="29"/>
        <v>-66164.819904332922</v>
      </c>
      <c r="M167" s="13">
        <f t="shared" si="30"/>
        <v>-17846.944442073043</v>
      </c>
    </row>
    <row r="168" spans="2:19" x14ac:dyDescent="0.2">
      <c r="B168" s="2">
        <v>158</v>
      </c>
      <c r="C168" s="13">
        <f t="shared" si="31"/>
        <v>1718529.6243029716</v>
      </c>
      <c r="D168" s="119">
        <f t="shared" si="32"/>
        <v>0.01</v>
      </c>
      <c r="E168" s="13">
        <f t="shared" si="33"/>
        <v>17185.296243029716</v>
      </c>
      <c r="F168" s="13">
        <f t="shared" si="34"/>
        <v>-84011.764346405966</v>
      </c>
      <c r="G168" s="13">
        <f t="shared" si="35"/>
        <v>1651703.1561995954</v>
      </c>
      <c r="I168" s="120">
        <f t="shared" si="27"/>
        <v>0.79544178869795501</v>
      </c>
      <c r="J168" s="120">
        <f t="shared" si="28"/>
        <v>0.20455821130204493</v>
      </c>
      <c r="L168" s="13">
        <f t="shared" si="29"/>
        <v>-66826.468103376246</v>
      </c>
      <c r="M168" s="13">
        <f t="shared" si="30"/>
        <v>-17185.296243029716</v>
      </c>
    </row>
    <row r="169" spans="2:19" x14ac:dyDescent="0.2">
      <c r="B169" s="2">
        <v>159</v>
      </c>
      <c r="C169" s="13">
        <f t="shared" si="31"/>
        <v>1651703.1561995954</v>
      </c>
      <c r="D169" s="119">
        <f t="shared" si="32"/>
        <v>0.01</v>
      </c>
      <c r="E169" s="13">
        <f t="shared" si="33"/>
        <v>16517.031561995955</v>
      </c>
      <c r="F169" s="13">
        <f t="shared" si="34"/>
        <v>-84011.764346405966</v>
      </c>
      <c r="G169" s="13">
        <f t="shared" si="35"/>
        <v>1584208.4234151854</v>
      </c>
      <c r="I169" s="120">
        <f t="shared" si="27"/>
        <v>0.8033962065849346</v>
      </c>
      <c r="J169" s="120">
        <f t="shared" si="28"/>
        <v>0.1966037934150654</v>
      </c>
      <c r="L169" s="13">
        <f t="shared" si="29"/>
        <v>-67494.732784410007</v>
      </c>
      <c r="M169" s="13">
        <f t="shared" si="30"/>
        <v>-16517.031561995955</v>
      </c>
    </row>
    <row r="170" spans="2:19" x14ac:dyDescent="0.2">
      <c r="B170" s="2">
        <v>160</v>
      </c>
      <c r="C170" s="13">
        <f t="shared" si="31"/>
        <v>1584208.4234151854</v>
      </c>
      <c r="D170" s="119">
        <f t="shared" si="32"/>
        <v>0.01</v>
      </c>
      <c r="E170" s="13">
        <f t="shared" si="33"/>
        <v>15842.084234151855</v>
      </c>
      <c r="F170" s="13">
        <f t="shared" si="34"/>
        <v>-84011.764346405966</v>
      </c>
      <c r="G170" s="13">
        <f t="shared" si="35"/>
        <v>1516038.7433029313</v>
      </c>
      <c r="I170" s="120">
        <f t="shared" si="27"/>
        <v>0.81143016865078388</v>
      </c>
      <c r="J170" s="120">
        <f t="shared" si="28"/>
        <v>0.18856983134921604</v>
      </c>
      <c r="L170" s="13">
        <f t="shared" si="29"/>
        <v>-68169.680112254107</v>
      </c>
      <c r="M170" s="13">
        <f t="shared" si="30"/>
        <v>-15842.084234151855</v>
      </c>
    </row>
    <row r="171" spans="2:19" x14ac:dyDescent="0.2">
      <c r="B171" s="2">
        <v>161</v>
      </c>
      <c r="C171" s="13">
        <f t="shared" si="31"/>
        <v>1516038.7433029313</v>
      </c>
      <c r="D171" s="119">
        <f t="shared" si="32"/>
        <v>0.01</v>
      </c>
      <c r="E171" s="13">
        <f t="shared" si="33"/>
        <v>15160.387433029313</v>
      </c>
      <c r="F171" s="13">
        <f t="shared" si="34"/>
        <v>-84011.764346405966</v>
      </c>
      <c r="G171" s="13">
        <f t="shared" si="35"/>
        <v>1447187.3663895547</v>
      </c>
      <c r="I171" s="120">
        <f t="shared" si="27"/>
        <v>0.81954447033729172</v>
      </c>
      <c r="J171" s="120">
        <f t="shared" si="28"/>
        <v>0.1804555296627082</v>
      </c>
      <c r="L171" s="13">
        <f t="shared" si="29"/>
        <v>-68851.376913376647</v>
      </c>
      <c r="M171" s="13">
        <f t="shared" si="30"/>
        <v>-15160.387433029313</v>
      </c>
    </row>
    <row r="172" spans="2:19" x14ac:dyDescent="0.2">
      <c r="B172" s="2">
        <v>162</v>
      </c>
      <c r="C172" s="13">
        <f t="shared" si="31"/>
        <v>1447187.3663895547</v>
      </c>
      <c r="D172" s="119">
        <f t="shared" si="32"/>
        <v>0.01</v>
      </c>
      <c r="E172" s="13">
        <f t="shared" si="33"/>
        <v>14471.873663895547</v>
      </c>
      <c r="F172" s="13">
        <f t="shared" si="34"/>
        <v>-84011.764346405966</v>
      </c>
      <c r="G172" s="13">
        <f t="shared" si="35"/>
        <v>1377647.4757070444</v>
      </c>
      <c r="I172" s="120">
        <f t="shared" si="27"/>
        <v>0.82773991504066469</v>
      </c>
      <c r="J172" s="120">
        <f t="shared" si="28"/>
        <v>0.17226008495933529</v>
      </c>
      <c r="L172" s="13">
        <f t="shared" si="29"/>
        <v>-69539.89068251042</v>
      </c>
      <c r="M172" s="13">
        <f t="shared" si="30"/>
        <v>-14471.873663895547</v>
      </c>
    </row>
    <row r="173" spans="2:19" x14ac:dyDescent="0.2">
      <c r="B173" s="2">
        <v>163</v>
      </c>
      <c r="C173" s="13">
        <f t="shared" si="31"/>
        <v>1377647.4757070444</v>
      </c>
      <c r="D173" s="119">
        <f t="shared" si="32"/>
        <v>0.01</v>
      </c>
      <c r="E173" s="13">
        <f t="shared" si="33"/>
        <v>13776.474757070444</v>
      </c>
      <c r="F173" s="13">
        <f t="shared" si="34"/>
        <v>-84011.764346405966</v>
      </c>
      <c r="G173" s="13">
        <f t="shared" si="35"/>
        <v>1307412.1861177089</v>
      </c>
      <c r="I173" s="120">
        <f t="shared" si="27"/>
        <v>0.83601731419107128</v>
      </c>
      <c r="J173" s="120">
        <f t="shared" si="28"/>
        <v>0.16398268580892866</v>
      </c>
      <c r="L173" s="13">
        <f t="shared" si="29"/>
        <v>-70235.289589335516</v>
      </c>
      <c r="M173" s="13">
        <f t="shared" si="30"/>
        <v>-13776.474757070444</v>
      </c>
    </row>
    <row r="174" spans="2:19" x14ac:dyDescent="0.2">
      <c r="B174" s="2">
        <v>164</v>
      </c>
      <c r="C174" s="13">
        <f t="shared" si="31"/>
        <v>1307412.1861177089</v>
      </c>
      <c r="D174" s="119">
        <f t="shared" si="32"/>
        <v>0.01</v>
      </c>
      <c r="E174" s="13">
        <f t="shared" si="33"/>
        <v>13074.121861177089</v>
      </c>
      <c r="F174" s="13">
        <f t="shared" si="34"/>
        <v>-84011.764346405966</v>
      </c>
      <c r="G174" s="13">
        <f t="shared" si="35"/>
        <v>1236474.5436324801</v>
      </c>
      <c r="I174" s="120">
        <f t="shared" si="27"/>
        <v>0.84437748733298201</v>
      </c>
      <c r="J174" s="120">
        <f t="shared" si="28"/>
        <v>0.15562251266701796</v>
      </c>
      <c r="L174" s="13">
        <f t="shared" si="29"/>
        <v>-70937.642485228876</v>
      </c>
      <c r="M174" s="13">
        <f t="shared" si="30"/>
        <v>-13074.121861177089</v>
      </c>
    </row>
    <row r="175" spans="2:19" x14ac:dyDescent="0.2">
      <c r="B175" s="2">
        <v>165</v>
      </c>
      <c r="C175" s="13">
        <f t="shared" si="31"/>
        <v>1236474.5436324801</v>
      </c>
      <c r="D175" s="119">
        <f t="shared" si="32"/>
        <v>0.01</v>
      </c>
      <c r="E175" s="13">
        <f t="shared" si="33"/>
        <v>12364.745436324802</v>
      </c>
      <c r="F175" s="13">
        <f t="shared" si="34"/>
        <v>-84011.764346405966</v>
      </c>
      <c r="G175" s="13">
        <f t="shared" si="35"/>
        <v>1164827.524722399</v>
      </c>
      <c r="I175" s="120">
        <f t="shared" si="27"/>
        <v>0.85282126220631194</v>
      </c>
      <c r="J175" s="120">
        <f t="shared" si="28"/>
        <v>0.14717873779368815</v>
      </c>
      <c r="L175" s="13">
        <f t="shared" si="29"/>
        <v>-71647.018910081169</v>
      </c>
      <c r="M175" s="13">
        <f t="shared" si="30"/>
        <v>-12364.745436324802</v>
      </c>
    </row>
    <row r="176" spans="2:19" x14ac:dyDescent="0.2">
      <c r="B176" s="2">
        <v>166</v>
      </c>
      <c r="C176" s="13">
        <f t="shared" si="31"/>
        <v>1164827.524722399</v>
      </c>
      <c r="D176" s="119">
        <f t="shared" si="32"/>
        <v>0.01</v>
      </c>
      <c r="E176" s="13">
        <f t="shared" si="33"/>
        <v>11648.27524722399</v>
      </c>
      <c r="F176" s="13">
        <f t="shared" si="34"/>
        <v>-84011.764346405966</v>
      </c>
      <c r="G176" s="13">
        <f t="shared" si="35"/>
        <v>1092464.035623217</v>
      </c>
      <c r="I176" s="120">
        <f t="shared" si="27"/>
        <v>0.86134947482837487</v>
      </c>
      <c r="J176" s="120">
        <f t="shared" si="28"/>
        <v>0.13865052517162502</v>
      </c>
      <c r="L176" s="13">
        <f t="shared" si="29"/>
        <v>-72363.48909918197</v>
      </c>
      <c r="M176" s="13">
        <f t="shared" si="30"/>
        <v>-11648.27524722399</v>
      </c>
    </row>
    <row r="177" spans="2:19" x14ac:dyDescent="0.2">
      <c r="B177" s="2">
        <v>167</v>
      </c>
      <c r="C177" s="13">
        <f t="shared" si="31"/>
        <v>1092464.035623217</v>
      </c>
      <c r="D177" s="119">
        <f t="shared" si="32"/>
        <v>0.01</v>
      </c>
      <c r="E177" s="13">
        <f t="shared" si="33"/>
        <v>10924.64035623217</v>
      </c>
      <c r="F177" s="13">
        <f t="shared" si="34"/>
        <v>-84011.764346405966</v>
      </c>
      <c r="G177" s="13">
        <f t="shared" si="35"/>
        <v>1019376.9116330432</v>
      </c>
      <c r="I177" s="120">
        <f t="shared" si="27"/>
        <v>0.86996296957665875</v>
      </c>
      <c r="J177" s="120">
        <f t="shared" si="28"/>
        <v>0.13003703042334128</v>
      </c>
      <c r="L177" s="13">
        <f t="shared" si="29"/>
        <v>-73087.123990173801</v>
      </c>
      <c r="M177" s="13">
        <f t="shared" si="30"/>
        <v>-10924.64035623217</v>
      </c>
    </row>
    <row r="178" spans="2:19" x14ac:dyDescent="0.2">
      <c r="B178" s="2">
        <v>168</v>
      </c>
      <c r="C178" s="13">
        <f t="shared" si="31"/>
        <v>1019376.9116330432</v>
      </c>
      <c r="D178" s="119">
        <f t="shared" si="32"/>
        <v>0.01</v>
      </c>
      <c r="E178" s="13">
        <f t="shared" si="33"/>
        <v>10193.769116330432</v>
      </c>
      <c r="F178" s="13">
        <f t="shared" si="34"/>
        <v>-84011.764346405966</v>
      </c>
      <c r="G178" s="13">
        <f t="shared" si="35"/>
        <v>945558.91640296765</v>
      </c>
      <c r="I178" s="120">
        <f t="shared" si="27"/>
        <v>0.8786625992724254</v>
      </c>
      <c r="J178" s="120">
        <f t="shared" si="28"/>
        <v>0.12133740072757468</v>
      </c>
      <c r="L178" s="13">
        <f t="shared" si="29"/>
        <v>-73817.995230075539</v>
      </c>
      <c r="M178" s="13">
        <f t="shared" si="30"/>
        <v>-10193.769116330432</v>
      </c>
      <c r="R178" s="129">
        <f t="shared" ref="R178:S178" si="39">SUM(L167:L178)</f>
        <v>-839135.52780433721</v>
      </c>
      <c r="S178" s="129">
        <f t="shared" si="39"/>
        <v>-169005.64435253438</v>
      </c>
    </row>
    <row r="179" spans="2:19" x14ac:dyDescent="0.2">
      <c r="B179" s="2">
        <v>169</v>
      </c>
      <c r="C179" s="13">
        <f t="shared" si="31"/>
        <v>945558.91640296765</v>
      </c>
      <c r="D179" s="119">
        <f t="shared" si="32"/>
        <v>0.01</v>
      </c>
      <c r="E179" s="13">
        <f t="shared" si="33"/>
        <v>9455.5891640296759</v>
      </c>
      <c r="F179" s="13">
        <f t="shared" si="34"/>
        <v>-84011.764346405966</v>
      </c>
      <c r="G179" s="13">
        <f t="shared" si="35"/>
        <v>871002.74122059136</v>
      </c>
      <c r="I179" s="120">
        <f t="shared" si="27"/>
        <v>0.88744922526514958</v>
      </c>
      <c r="J179" s="120">
        <f t="shared" si="28"/>
        <v>0.11255077473485042</v>
      </c>
      <c r="L179" s="13">
        <f t="shared" si="29"/>
        <v>-74556.17518237629</v>
      </c>
      <c r="M179" s="13">
        <f t="shared" si="30"/>
        <v>-9455.5891640296759</v>
      </c>
    </row>
    <row r="180" spans="2:19" x14ac:dyDescent="0.2">
      <c r="B180" s="2">
        <v>170</v>
      </c>
      <c r="C180" s="13">
        <f t="shared" si="31"/>
        <v>871002.74122059136</v>
      </c>
      <c r="D180" s="119">
        <f t="shared" si="32"/>
        <v>0.01</v>
      </c>
      <c r="E180" s="13">
        <f t="shared" si="33"/>
        <v>8710.0274122059145</v>
      </c>
      <c r="F180" s="13">
        <f t="shared" si="34"/>
        <v>-84011.764346405966</v>
      </c>
      <c r="G180" s="13">
        <f t="shared" si="35"/>
        <v>795701.00428639131</v>
      </c>
      <c r="I180" s="120">
        <f t="shared" si="27"/>
        <v>0.89632371751780104</v>
      </c>
      <c r="J180" s="120">
        <f t="shared" si="28"/>
        <v>0.10367628248219894</v>
      </c>
      <c r="L180" s="13">
        <f t="shared" si="29"/>
        <v>-75301.736934200046</v>
      </c>
      <c r="M180" s="13">
        <f t="shared" si="30"/>
        <v>-8710.0274122059145</v>
      </c>
    </row>
    <row r="181" spans="2:19" x14ac:dyDescent="0.2">
      <c r="B181" s="2">
        <v>171</v>
      </c>
      <c r="C181" s="13">
        <f t="shared" si="31"/>
        <v>795701.00428639131</v>
      </c>
      <c r="D181" s="119">
        <f t="shared" si="32"/>
        <v>0.01</v>
      </c>
      <c r="E181" s="13">
        <f t="shared" si="33"/>
        <v>7957.0100428639134</v>
      </c>
      <c r="F181" s="13">
        <f t="shared" si="34"/>
        <v>-84011.764346405966</v>
      </c>
      <c r="G181" s="13">
        <f t="shared" si="35"/>
        <v>719646.24998284923</v>
      </c>
      <c r="I181" s="120">
        <f t="shared" si="27"/>
        <v>0.90528695469297904</v>
      </c>
      <c r="J181" s="120">
        <f t="shared" si="28"/>
        <v>9.4713045307020932E-2</v>
      </c>
      <c r="L181" s="13">
        <f t="shared" si="29"/>
        <v>-76054.754303542053</v>
      </c>
      <c r="M181" s="13">
        <f t="shared" si="30"/>
        <v>-7957.0100428639134</v>
      </c>
    </row>
    <row r="182" spans="2:19" x14ac:dyDescent="0.2">
      <c r="B182" s="2">
        <v>172</v>
      </c>
      <c r="C182" s="13">
        <f t="shared" si="31"/>
        <v>719646.24998284923</v>
      </c>
      <c r="D182" s="119">
        <f t="shared" si="32"/>
        <v>0.01</v>
      </c>
      <c r="E182" s="13">
        <f t="shared" si="33"/>
        <v>7196.4624998284926</v>
      </c>
      <c r="F182" s="13">
        <f t="shared" si="34"/>
        <v>-84011.764346405966</v>
      </c>
      <c r="G182" s="13">
        <f t="shared" si="35"/>
        <v>642830.94813627179</v>
      </c>
      <c r="I182" s="120">
        <f t="shared" si="27"/>
        <v>0.91433982423990889</v>
      </c>
      <c r="J182" s="120">
        <f t="shared" si="28"/>
        <v>8.5660175760091148E-2</v>
      </c>
      <c r="L182" s="13">
        <f t="shared" si="29"/>
        <v>-76815.301846577466</v>
      </c>
      <c r="M182" s="13">
        <f t="shared" si="30"/>
        <v>-7196.4624998284926</v>
      </c>
    </row>
    <row r="183" spans="2:19" x14ac:dyDescent="0.2">
      <c r="B183" s="2">
        <v>173</v>
      </c>
      <c r="C183" s="13">
        <f t="shared" si="31"/>
        <v>642830.94813627179</v>
      </c>
      <c r="D183" s="119">
        <f t="shared" si="32"/>
        <v>0.01</v>
      </c>
      <c r="E183" s="13">
        <f t="shared" si="33"/>
        <v>6428.3094813627176</v>
      </c>
      <c r="F183" s="13">
        <f t="shared" si="34"/>
        <v>-84011.764346405966</v>
      </c>
      <c r="G183" s="13">
        <f t="shared" si="35"/>
        <v>565247.49327122851</v>
      </c>
      <c r="I183" s="120">
        <f t="shared" si="27"/>
        <v>0.92348322248230785</v>
      </c>
      <c r="J183" s="120">
        <f t="shared" si="28"/>
        <v>7.6516777517692022E-2</v>
      </c>
      <c r="L183" s="13">
        <f t="shared" si="29"/>
        <v>-77583.454865043255</v>
      </c>
      <c r="M183" s="13">
        <f t="shared" si="30"/>
        <v>-6428.3094813627176</v>
      </c>
    </row>
    <row r="184" spans="2:19" x14ac:dyDescent="0.2">
      <c r="B184" s="2">
        <v>174</v>
      </c>
      <c r="C184" s="13">
        <f t="shared" si="31"/>
        <v>565247.49327122851</v>
      </c>
      <c r="D184" s="119">
        <f t="shared" si="32"/>
        <v>0.01</v>
      </c>
      <c r="E184" s="13">
        <f t="shared" si="33"/>
        <v>5652.4749327122854</v>
      </c>
      <c r="F184" s="13">
        <f t="shared" si="34"/>
        <v>-84011.764346405966</v>
      </c>
      <c r="G184" s="13">
        <f t="shared" si="35"/>
        <v>486888.2038575348</v>
      </c>
      <c r="I184" s="120">
        <f t="shared" si="27"/>
        <v>0.93271805470713109</v>
      </c>
      <c r="J184" s="120">
        <f t="shared" si="28"/>
        <v>6.7281945292868961E-2</v>
      </c>
      <c r="L184" s="13">
        <f t="shared" si="29"/>
        <v>-78359.289413693681</v>
      </c>
      <c r="M184" s="13">
        <f t="shared" si="30"/>
        <v>-5652.4749327122854</v>
      </c>
    </row>
    <row r="185" spans="2:19" x14ac:dyDescent="0.2">
      <c r="B185" s="2">
        <v>175</v>
      </c>
      <c r="C185" s="13">
        <f t="shared" si="31"/>
        <v>486888.2038575348</v>
      </c>
      <c r="D185" s="119">
        <f t="shared" si="32"/>
        <v>0.01</v>
      </c>
      <c r="E185" s="13">
        <f t="shared" si="33"/>
        <v>4868.8820385753479</v>
      </c>
      <c r="F185" s="13">
        <f t="shared" si="34"/>
        <v>-84011.764346405966</v>
      </c>
      <c r="G185" s="13">
        <f t="shared" si="35"/>
        <v>407745.32154970418</v>
      </c>
      <c r="I185" s="120">
        <f t="shared" si="27"/>
        <v>0.94204523525420236</v>
      </c>
      <c r="J185" s="120">
        <f t="shared" si="28"/>
        <v>5.7954764745797645E-2</v>
      </c>
      <c r="L185" s="13">
        <f t="shared" si="29"/>
        <v>-79142.882307830616</v>
      </c>
      <c r="M185" s="13">
        <f t="shared" si="30"/>
        <v>-4868.8820385753479</v>
      </c>
    </row>
    <row r="186" spans="2:19" x14ac:dyDescent="0.2">
      <c r="B186" s="2">
        <v>176</v>
      </c>
      <c r="C186" s="13">
        <f t="shared" si="31"/>
        <v>407745.32154970418</v>
      </c>
      <c r="D186" s="119">
        <f t="shared" si="32"/>
        <v>0.01</v>
      </c>
      <c r="E186" s="13">
        <f t="shared" si="33"/>
        <v>4077.453215497042</v>
      </c>
      <c r="F186" s="13">
        <f t="shared" si="34"/>
        <v>-84011.764346405966</v>
      </c>
      <c r="G186" s="13">
        <f t="shared" si="35"/>
        <v>327811.01041879522</v>
      </c>
      <c r="I186" s="120">
        <f t="shared" si="27"/>
        <v>0.95146568760674444</v>
      </c>
      <c r="J186" s="120">
        <f t="shared" si="28"/>
        <v>4.8534312393255626E-2</v>
      </c>
      <c r="L186" s="13">
        <f t="shared" si="29"/>
        <v>-79934.311130908929</v>
      </c>
      <c r="M186" s="13">
        <f t="shared" si="30"/>
        <v>-4077.453215497042</v>
      </c>
    </row>
    <row r="187" spans="2:19" x14ac:dyDescent="0.2">
      <c r="B187" s="2">
        <v>177</v>
      </c>
      <c r="C187" s="13">
        <f t="shared" si="31"/>
        <v>327811.01041879522</v>
      </c>
      <c r="D187" s="119">
        <f t="shared" si="32"/>
        <v>0.01</v>
      </c>
      <c r="E187" s="13">
        <f t="shared" si="33"/>
        <v>3278.1101041879524</v>
      </c>
      <c r="F187" s="13">
        <f t="shared" si="34"/>
        <v>-84011.764346405966</v>
      </c>
      <c r="G187" s="13">
        <f t="shared" si="35"/>
        <v>247077.35617657722</v>
      </c>
      <c r="I187" s="120">
        <f t="shared" si="27"/>
        <v>0.96098034448281178</v>
      </c>
      <c r="J187" s="120">
        <f t="shared" si="28"/>
        <v>3.9019655517188175E-2</v>
      </c>
      <c r="L187" s="13">
        <f t="shared" si="29"/>
        <v>-80733.654242218006</v>
      </c>
      <c r="M187" s="13">
        <f t="shared" si="30"/>
        <v>-3278.1101041879524</v>
      </c>
    </row>
    <row r="188" spans="2:19" x14ac:dyDescent="0.2">
      <c r="B188" s="2">
        <v>178</v>
      </c>
      <c r="C188" s="13">
        <f t="shared" si="31"/>
        <v>247077.35617657722</v>
      </c>
      <c r="D188" s="119">
        <f t="shared" si="32"/>
        <v>0.01</v>
      </c>
      <c r="E188" s="13">
        <f t="shared" si="33"/>
        <v>2470.7735617657722</v>
      </c>
      <c r="F188" s="13">
        <f t="shared" si="34"/>
        <v>-84011.764346405966</v>
      </c>
      <c r="G188" s="13">
        <f t="shared" si="35"/>
        <v>165536.36539193703</v>
      </c>
      <c r="I188" s="120">
        <f t="shared" si="27"/>
        <v>0.97059014792763987</v>
      </c>
      <c r="J188" s="120">
        <f t="shared" si="28"/>
        <v>2.9409852072360056E-2</v>
      </c>
      <c r="L188" s="13">
        <f t="shared" si="29"/>
        <v>-81540.990784640191</v>
      </c>
      <c r="M188" s="13">
        <f t="shared" si="30"/>
        <v>-2470.7735617657722</v>
      </c>
    </row>
    <row r="189" spans="2:19" x14ac:dyDescent="0.2">
      <c r="B189" s="2">
        <v>179</v>
      </c>
      <c r="C189" s="13">
        <f t="shared" si="31"/>
        <v>165536.36539193703</v>
      </c>
      <c r="D189" s="119">
        <f t="shared" si="32"/>
        <v>0.01</v>
      </c>
      <c r="E189" s="13">
        <f t="shared" si="33"/>
        <v>1655.3636539193703</v>
      </c>
      <c r="F189" s="13">
        <f t="shared" si="34"/>
        <v>-84011.764346405966</v>
      </c>
      <c r="G189" s="13">
        <f t="shared" si="35"/>
        <v>83179.964699450429</v>
      </c>
      <c r="I189" s="120">
        <f t="shared" si="27"/>
        <v>0.98029604940691639</v>
      </c>
      <c r="J189" s="120">
        <f t="shared" si="28"/>
        <v>1.9703950593083656E-2</v>
      </c>
      <c r="L189" s="13">
        <f t="shared" si="29"/>
        <v>-82356.400692486597</v>
      </c>
      <c r="M189" s="13">
        <f t="shared" si="30"/>
        <v>-1655.3636539193703</v>
      </c>
    </row>
    <row r="190" spans="2:19" x14ac:dyDescent="0.2">
      <c r="B190" s="2">
        <v>180</v>
      </c>
      <c r="C190" s="13">
        <f t="shared" si="31"/>
        <v>83179.964699450429</v>
      </c>
      <c r="D190" s="119">
        <f t="shared" si="32"/>
        <v>0.01</v>
      </c>
      <c r="E190" s="13">
        <f t="shared" si="33"/>
        <v>831.79964699450431</v>
      </c>
      <c r="F190" s="13">
        <f t="shared" si="34"/>
        <v>-84011.764346405966</v>
      </c>
      <c r="G190" s="13">
        <f t="shared" si="35"/>
        <v>3.8970028981566429E-8</v>
      </c>
      <c r="I190" s="120">
        <f t="shared" si="27"/>
        <v>0.99009900990098543</v>
      </c>
      <c r="J190" s="120">
        <f t="shared" si="28"/>
        <v>9.9009900990144929E-3</v>
      </c>
      <c r="L190" s="13">
        <f t="shared" si="29"/>
        <v>-83179.964699411459</v>
      </c>
      <c r="M190" s="13">
        <f t="shared" si="30"/>
        <v>-831.79964699450431</v>
      </c>
      <c r="R190" s="129">
        <f t="shared" ref="R190:S190" si="40">SUM(L179:L190)</f>
        <v>-945558.91640292853</v>
      </c>
      <c r="S190" s="129">
        <f t="shared" si="40"/>
        <v>-62582.255753942991</v>
      </c>
    </row>
    <row r="191" spans="2:19" x14ac:dyDescent="0.2">
      <c r="B191" s="2">
        <v>181</v>
      </c>
      <c r="C191" s="13">
        <f t="shared" si="31"/>
        <v>0</v>
      </c>
      <c r="D191" s="119">
        <f t="shared" si="32"/>
        <v>0</v>
      </c>
      <c r="E191" s="13">
        <f t="shared" si="33"/>
        <v>0</v>
      </c>
      <c r="F191" s="13">
        <f t="shared" si="34"/>
        <v>0</v>
      </c>
      <c r="G191" s="13">
        <f t="shared" si="35"/>
        <v>0</v>
      </c>
      <c r="I191" s="120">
        <f t="shared" si="27"/>
        <v>0</v>
      </c>
      <c r="J191" s="120">
        <f t="shared" si="28"/>
        <v>0</v>
      </c>
      <c r="L191" s="13">
        <f t="shared" si="29"/>
        <v>0</v>
      </c>
      <c r="M191" s="13">
        <f t="shared" si="30"/>
        <v>0</v>
      </c>
    </row>
    <row r="192" spans="2:19" x14ac:dyDescent="0.2">
      <c r="B192" s="2">
        <v>182</v>
      </c>
      <c r="C192" s="13">
        <f t="shared" si="31"/>
        <v>0</v>
      </c>
      <c r="D192" s="119">
        <f t="shared" si="32"/>
        <v>0</v>
      </c>
      <c r="E192" s="13">
        <f t="shared" si="33"/>
        <v>0</v>
      </c>
      <c r="F192" s="13">
        <f t="shared" si="34"/>
        <v>0</v>
      </c>
      <c r="G192" s="13">
        <f t="shared" si="35"/>
        <v>0</v>
      </c>
      <c r="I192" s="120">
        <f t="shared" si="27"/>
        <v>0</v>
      </c>
      <c r="J192" s="120">
        <f t="shared" si="28"/>
        <v>0</v>
      </c>
      <c r="L192" s="13">
        <f t="shared" si="29"/>
        <v>0</v>
      </c>
      <c r="M192" s="13">
        <f t="shared" si="30"/>
        <v>0</v>
      </c>
    </row>
    <row r="193" spans="2:19" x14ac:dyDescent="0.2">
      <c r="B193" s="2">
        <v>183</v>
      </c>
      <c r="C193" s="13">
        <f t="shared" si="31"/>
        <v>0</v>
      </c>
      <c r="D193" s="119">
        <f t="shared" si="32"/>
        <v>0</v>
      </c>
      <c r="E193" s="13">
        <f t="shared" si="33"/>
        <v>0</v>
      </c>
      <c r="F193" s="13">
        <f t="shared" si="34"/>
        <v>0</v>
      </c>
      <c r="G193" s="13">
        <f t="shared" si="35"/>
        <v>0</v>
      </c>
      <c r="I193" s="120">
        <f t="shared" si="27"/>
        <v>0</v>
      </c>
      <c r="J193" s="120">
        <f t="shared" si="28"/>
        <v>0</v>
      </c>
      <c r="L193" s="13">
        <f t="shared" si="29"/>
        <v>0</v>
      </c>
      <c r="M193" s="13">
        <f t="shared" si="30"/>
        <v>0</v>
      </c>
    </row>
    <row r="194" spans="2:19" x14ac:dyDescent="0.2">
      <c r="B194" s="2">
        <v>184</v>
      </c>
      <c r="C194" s="13">
        <f t="shared" si="31"/>
        <v>0</v>
      </c>
      <c r="D194" s="119">
        <f t="shared" si="32"/>
        <v>0</v>
      </c>
      <c r="E194" s="13">
        <f t="shared" si="33"/>
        <v>0</v>
      </c>
      <c r="F194" s="13">
        <f t="shared" si="34"/>
        <v>0</v>
      </c>
      <c r="G194" s="13">
        <f t="shared" si="35"/>
        <v>0</v>
      </c>
      <c r="I194" s="120">
        <f t="shared" si="27"/>
        <v>0</v>
      </c>
      <c r="J194" s="120">
        <f t="shared" si="28"/>
        <v>0</v>
      </c>
      <c r="L194" s="13">
        <f t="shared" si="29"/>
        <v>0</v>
      </c>
      <c r="M194" s="13">
        <f t="shared" si="30"/>
        <v>0</v>
      </c>
    </row>
    <row r="195" spans="2:19" x14ac:dyDescent="0.2">
      <c r="B195" s="2">
        <v>185</v>
      </c>
      <c r="C195" s="13">
        <f t="shared" si="31"/>
        <v>0</v>
      </c>
      <c r="D195" s="119">
        <f t="shared" si="32"/>
        <v>0</v>
      </c>
      <c r="E195" s="13">
        <f t="shared" si="33"/>
        <v>0</v>
      </c>
      <c r="F195" s="13">
        <f t="shared" si="34"/>
        <v>0</v>
      </c>
      <c r="G195" s="13">
        <f t="shared" si="35"/>
        <v>0</v>
      </c>
      <c r="I195" s="120">
        <f t="shared" si="27"/>
        <v>0</v>
      </c>
      <c r="J195" s="120">
        <f t="shared" si="28"/>
        <v>0</v>
      </c>
      <c r="L195" s="13">
        <f t="shared" si="29"/>
        <v>0</v>
      </c>
      <c r="M195" s="13">
        <f t="shared" si="30"/>
        <v>0</v>
      </c>
    </row>
    <row r="196" spans="2:19" x14ac:dyDescent="0.2">
      <c r="B196" s="2">
        <v>186</v>
      </c>
      <c r="C196" s="13">
        <f t="shared" si="31"/>
        <v>0</v>
      </c>
      <c r="D196" s="119">
        <f t="shared" si="32"/>
        <v>0</v>
      </c>
      <c r="E196" s="13">
        <f t="shared" si="33"/>
        <v>0</v>
      </c>
      <c r="F196" s="13">
        <f t="shared" si="34"/>
        <v>0</v>
      </c>
      <c r="G196" s="13">
        <f t="shared" si="35"/>
        <v>0</v>
      </c>
      <c r="I196" s="120">
        <f t="shared" si="27"/>
        <v>0</v>
      </c>
      <c r="J196" s="120">
        <f t="shared" si="28"/>
        <v>0</v>
      </c>
      <c r="L196" s="13">
        <f t="shared" si="29"/>
        <v>0</v>
      </c>
      <c r="M196" s="13">
        <f t="shared" si="30"/>
        <v>0</v>
      </c>
    </row>
    <row r="197" spans="2:19" x14ac:dyDescent="0.2">
      <c r="B197" s="2">
        <v>187</v>
      </c>
      <c r="C197" s="13">
        <f t="shared" si="31"/>
        <v>0</v>
      </c>
      <c r="D197" s="119">
        <f t="shared" si="32"/>
        <v>0</v>
      </c>
      <c r="E197" s="13">
        <f t="shared" si="33"/>
        <v>0</v>
      </c>
      <c r="F197" s="13">
        <f t="shared" si="34"/>
        <v>0</v>
      </c>
      <c r="G197" s="13">
        <f t="shared" si="35"/>
        <v>0</v>
      </c>
      <c r="I197" s="120">
        <f t="shared" si="27"/>
        <v>0</v>
      </c>
      <c r="J197" s="120">
        <f t="shared" si="28"/>
        <v>0</v>
      </c>
      <c r="L197" s="13">
        <f t="shared" si="29"/>
        <v>0</v>
      </c>
      <c r="M197" s="13">
        <f t="shared" si="30"/>
        <v>0</v>
      </c>
    </row>
    <row r="198" spans="2:19" x14ac:dyDescent="0.2">
      <c r="B198" s="2">
        <v>188</v>
      </c>
      <c r="C198" s="13">
        <f t="shared" si="31"/>
        <v>0</v>
      </c>
      <c r="D198" s="119">
        <f t="shared" si="32"/>
        <v>0</v>
      </c>
      <c r="E198" s="13">
        <f t="shared" si="33"/>
        <v>0</v>
      </c>
      <c r="F198" s="13">
        <f t="shared" si="34"/>
        <v>0</v>
      </c>
      <c r="G198" s="13">
        <f t="shared" si="35"/>
        <v>0</v>
      </c>
      <c r="I198" s="120">
        <f t="shared" si="27"/>
        <v>0</v>
      </c>
      <c r="J198" s="120">
        <f t="shared" si="28"/>
        <v>0</v>
      </c>
      <c r="L198" s="13">
        <f t="shared" si="29"/>
        <v>0</v>
      </c>
      <c r="M198" s="13">
        <f t="shared" si="30"/>
        <v>0</v>
      </c>
    </row>
    <row r="199" spans="2:19" x14ac:dyDescent="0.2">
      <c r="B199" s="2">
        <v>189</v>
      </c>
      <c r="C199" s="13">
        <f t="shared" si="31"/>
        <v>0</v>
      </c>
      <c r="D199" s="119">
        <f t="shared" si="32"/>
        <v>0</v>
      </c>
      <c r="E199" s="13">
        <f t="shared" si="33"/>
        <v>0</v>
      </c>
      <c r="F199" s="13">
        <f t="shared" si="34"/>
        <v>0</v>
      </c>
      <c r="G199" s="13">
        <f t="shared" si="35"/>
        <v>0</v>
      </c>
      <c r="I199" s="120">
        <f t="shared" si="27"/>
        <v>0</v>
      </c>
      <c r="J199" s="120">
        <f t="shared" si="28"/>
        <v>0</v>
      </c>
      <c r="L199" s="13">
        <f t="shared" si="29"/>
        <v>0</v>
      </c>
      <c r="M199" s="13">
        <f t="shared" si="30"/>
        <v>0</v>
      </c>
    </row>
    <row r="200" spans="2:19" x14ac:dyDescent="0.2">
      <c r="B200" s="2">
        <v>190</v>
      </c>
      <c r="C200" s="13">
        <f t="shared" si="31"/>
        <v>0</v>
      </c>
      <c r="D200" s="119">
        <f t="shared" si="32"/>
        <v>0</v>
      </c>
      <c r="E200" s="13">
        <f t="shared" si="33"/>
        <v>0</v>
      </c>
      <c r="F200" s="13">
        <f t="shared" si="34"/>
        <v>0</v>
      </c>
      <c r="G200" s="13">
        <f t="shared" si="35"/>
        <v>0</v>
      </c>
      <c r="I200" s="120">
        <f t="shared" si="27"/>
        <v>0</v>
      </c>
      <c r="J200" s="120">
        <f t="shared" si="28"/>
        <v>0</v>
      </c>
      <c r="L200" s="13">
        <f t="shared" si="29"/>
        <v>0</v>
      </c>
      <c r="M200" s="13">
        <f t="shared" si="30"/>
        <v>0</v>
      </c>
    </row>
    <row r="201" spans="2:19" x14ac:dyDescent="0.2">
      <c r="B201" s="2">
        <v>191</v>
      </c>
      <c r="C201" s="13">
        <f t="shared" si="31"/>
        <v>0</v>
      </c>
      <c r="D201" s="119">
        <f t="shared" si="32"/>
        <v>0</v>
      </c>
      <c r="E201" s="13">
        <f t="shared" si="33"/>
        <v>0</v>
      </c>
      <c r="F201" s="13">
        <f t="shared" si="34"/>
        <v>0</v>
      </c>
      <c r="G201" s="13">
        <f t="shared" si="35"/>
        <v>0</v>
      </c>
      <c r="I201" s="120">
        <f t="shared" si="27"/>
        <v>0</v>
      </c>
      <c r="J201" s="120">
        <f t="shared" si="28"/>
        <v>0</v>
      </c>
      <c r="L201" s="13">
        <f t="shared" si="29"/>
        <v>0</v>
      </c>
      <c r="M201" s="13">
        <f t="shared" si="30"/>
        <v>0</v>
      </c>
    </row>
    <row r="202" spans="2:19" x14ac:dyDescent="0.2">
      <c r="B202" s="2">
        <v>192</v>
      </c>
      <c r="C202" s="13">
        <f t="shared" si="31"/>
        <v>0</v>
      </c>
      <c r="D202" s="119">
        <f t="shared" si="32"/>
        <v>0</v>
      </c>
      <c r="E202" s="13">
        <f t="shared" si="33"/>
        <v>0</v>
      </c>
      <c r="F202" s="13">
        <f t="shared" si="34"/>
        <v>0</v>
      </c>
      <c r="G202" s="13">
        <f t="shared" si="35"/>
        <v>0</v>
      </c>
      <c r="I202" s="120">
        <f t="shared" si="27"/>
        <v>0</v>
      </c>
      <c r="J202" s="120">
        <f t="shared" si="28"/>
        <v>0</v>
      </c>
      <c r="L202" s="13">
        <f t="shared" si="29"/>
        <v>0</v>
      </c>
      <c r="M202" s="13">
        <f t="shared" si="30"/>
        <v>0</v>
      </c>
      <c r="R202" s="129">
        <f t="shared" ref="R202:S202" si="41">SUM(L191:L202)</f>
        <v>0</v>
      </c>
      <c r="S202" s="129">
        <f t="shared" si="41"/>
        <v>0</v>
      </c>
    </row>
    <row r="203" spans="2:19" x14ac:dyDescent="0.2">
      <c r="B203" s="2">
        <v>193</v>
      </c>
      <c r="C203" s="13">
        <f t="shared" si="31"/>
        <v>0</v>
      </c>
      <c r="D203" s="119">
        <f t="shared" si="32"/>
        <v>0</v>
      </c>
      <c r="E203" s="13">
        <f t="shared" si="33"/>
        <v>0</v>
      </c>
      <c r="F203" s="13">
        <f t="shared" si="34"/>
        <v>0</v>
      </c>
      <c r="G203" s="13">
        <f t="shared" si="35"/>
        <v>0</v>
      </c>
      <c r="I203" s="120">
        <f t="shared" si="27"/>
        <v>0</v>
      </c>
      <c r="J203" s="120">
        <f t="shared" si="28"/>
        <v>0</v>
      </c>
      <c r="L203" s="13">
        <f t="shared" si="29"/>
        <v>0</v>
      </c>
      <c r="M203" s="13">
        <f t="shared" si="30"/>
        <v>0</v>
      </c>
    </row>
    <row r="204" spans="2:19" x14ac:dyDescent="0.2">
      <c r="B204" s="2">
        <v>194</v>
      </c>
      <c r="C204" s="13">
        <f t="shared" si="31"/>
        <v>0</v>
      </c>
      <c r="D204" s="119">
        <f t="shared" si="32"/>
        <v>0</v>
      </c>
      <c r="E204" s="13">
        <f t="shared" si="33"/>
        <v>0</v>
      </c>
      <c r="F204" s="13">
        <f t="shared" si="34"/>
        <v>0</v>
      </c>
      <c r="G204" s="13">
        <f t="shared" si="35"/>
        <v>0</v>
      </c>
      <c r="I204" s="120">
        <f t="shared" ref="I204:I267" si="42">IF(B204&gt;$D$6*12,0,L204/(L204+M204))</f>
        <v>0</v>
      </c>
      <c r="J204" s="120">
        <f t="shared" ref="J204:J267" si="43">IF(B204&gt;$D$6*12,0,M204/(L204+M204))</f>
        <v>0</v>
      </c>
      <c r="L204" s="13">
        <f t="shared" ref="L204:L267" si="44">IF(B204&gt;$D$6*12,0,F204+E204)</f>
        <v>0</v>
      </c>
      <c r="M204" s="13">
        <f t="shared" ref="M204:M267" si="45">IF(B204&gt;$D$6*12,0,-E204)</f>
        <v>0</v>
      </c>
    </row>
    <row r="205" spans="2:19" x14ac:dyDescent="0.2">
      <c r="B205" s="2">
        <v>195</v>
      </c>
      <c r="C205" s="13">
        <f t="shared" ref="C205:C268" si="46">IF(B205&gt;$D$6*12,0,G204)</f>
        <v>0</v>
      </c>
      <c r="D205" s="119">
        <f t="shared" ref="D205:D268" si="47">IF(B205&gt;$D$6*12,0,D204)</f>
        <v>0</v>
      </c>
      <c r="E205" s="13">
        <f t="shared" ref="E205:E268" si="48">IF(B205&gt;$D$6*12,0,D205*C205)</f>
        <v>0</v>
      </c>
      <c r="F205" s="13">
        <f t="shared" ref="F205:F268" si="49">IF(B205&gt;$D$6*12,0,F204)</f>
        <v>0</v>
      </c>
      <c r="G205" s="13">
        <f t="shared" ref="G205:G268" si="50">IF(B205&gt;$D$6*12,0,C205+E205+F205)</f>
        <v>0</v>
      </c>
      <c r="I205" s="120">
        <f t="shared" si="42"/>
        <v>0</v>
      </c>
      <c r="J205" s="120">
        <f t="shared" si="43"/>
        <v>0</v>
      </c>
      <c r="L205" s="13">
        <f t="shared" si="44"/>
        <v>0</v>
      </c>
      <c r="M205" s="13">
        <f t="shared" si="45"/>
        <v>0</v>
      </c>
    </row>
    <row r="206" spans="2:19" x14ac:dyDescent="0.2">
      <c r="B206" s="2">
        <v>196</v>
      </c>
      <c r="C206" s="13">
        <f t="shared" si="46"/>
        <v>0</v>
      </c>
      <c r="D206" s="119">
        <f t="shared" si="47"/>
        <v>0</v>
      </c>
      <c r="E206" s="13">
        <f t="shared" si="48"/>
        <v>0</v>
      </c>
      <c r="F206" s="13">
        <f t="shared" si="49"/>
        <v>0</v>
      </c>
      <c r="G206" s="13">
        <f t="shared" si="50"/>
        <v>0</v>
      </c>
      <c r="I206" s="120">
        <f t="shared" si="42"/>
        <v>0</v>
      </c>
      <c r="J206" s="120">
        <f t="shared" si="43"/>
        <v>0</v>
      </c>
      <c r="L206" s="13">
        <f t="shared" si="44"/>
        <v>0</v>
      </c>
      <c r="M206" s="13">
        <f t="shared" si="45"/>
        <v>0</v>
      </c>
    </row>
    <row r="207" spans="2:19" x14ac:dyDescent="0.2">
      <c r="B207" s="2">
        <v>197</v>
      </c>
      <c r="C207" s="13">
        <f t="shared" si="46"/>
        <v>0</v>
      </c>
      <c r="D207" s="119">
        <f t="shared" si="47"/>
        <v>0</v>
      </c>
      <c r="E207" s="13">
        <f t="shared" si="48"/>
        <v>0</v>
      </c>
      <c r="F207" s="13">
        <f t="shared" si="49"/>
        <v>0</v>
      </c>
      <c r="G207" s="13">
        <f t="shared" si="50"/>
        <v>0</v>
      </c>
      <c r="I207" s="120">
        <f t="shared" si="42"/>
        <v>0</v>
      </c>
      <c r="J207" s="120">
        <f t="shared" si="43"/>
        <v>0</v>
      </c>
      <c r="L207" s="13">
        <f t="shared" si="44"/>
        <v>0</v>
      </c>
      <c r="M207" s="13">
        <f t="shared" si="45"/>
        <v>0</v>
      </c>
    </row>
    <row r="208" spans="2:19" x14ac:dyDescent="0.2">
      <c r="B208" s="2">
        <v>198</v>
      </c>
      <c r="C208" s="13">
        <f t="shared" si="46"/>
        <v>0</v>
      </c>
      <c r="D208" s="119">
        <f t="shared" si="47"/>
        <v>0</v>
      </c>
      <c r="E208" s="13">
        <f t="shared" si="48"/>
        <v>0</v>
      </c>
      <c r="F208" s="13">
        <f t="shared" si="49"/>
        <v>0</v>
      </c>
      <c r="G208" s="13">
        <f t="shared" si="50"/>
        <v>0</v>
      </c>
      <c r="I208" s="120">
        <f t="shared" si="42"/>
        <v>0</v>
      </c>
      <c r="J208" s="120">
        <f t="shared" si="43"/>
        <v>0</v>
      </c>
      <c r="L208" s="13">
        <f t="shared" si="44"/>
        <v>0</v>
      </c>
      <c r="M208" s="13">
        <f t="shared" si="45"/>
        <v>0</v>
      </c>
    </row>
    <row r="209" spans="2:19" x14ac:dyDescent="0.2">
      <c r="B209" s="2">
        <v>199</v>
      </c>
      <c r="C209" s="13">
        <f t="shared" si="46"/>
        <v>0</v>
      </c>
      <c r="D209" s="119">
        <f t="shared" si="47"/>
        <v>0</v>
      </c>
      <c r="E209" s="13">
        <f t="shared" si="48"/>
        <v>0</v>
      </c>
      <c r="F209" s="13">
        <f t="shared" si="49"/>
        <v>0</v>
      </c>
      <c r="G209" s="13">
        <f t="shared" si="50"/>
        <v>0</v>
      </c>
      <c r="I209" s="120">
        <f t="shared" si="42"/>
        <v>0</v>
      </c>
      <c r="J209" s="120">
        <f t="shared" si="43"/>
        <v>0</v>
      </c>
      <c r="L209" s="13">
        <f t="shared" si="44"/>
        <v>0</v>
      </c>
      <c r="M209" s="13">
        <f t="shared" si="45"/>
        <v>0</v>
      </c>
    </row>
    <row r="210" spans="2:19" x14ac:dyDescent="0.2">
      <c r="B210" s="2">
        <v>200</v>
      </c>
      <c r="C210" s="13">
        <f t="shared" si="46"/>
        <v>0</v>
      </c>
      <c r="D210" s="119">
        <f t="shared" si="47"/>
        <v>0</v>
      </c>
      <c r="E210" s="13">
        <f t="shared" si="48"/>
        <v>0</v>
      </c>
      <c r="F210" s="13">
        <f t="shared" si="49"/>
        <v>0</v>
      </c>
      <c r="G210" s="13">
        <f t="shared" si="50"/>
        <v>0</v>
      </c>
      <c r="I210" s="120">
        <f t="shared" si="42"/>
        <v>0</v>
      </c>
      <c r="J210" s="120">
        <f t="shared" si="43"/>
        <v>0</v>
      </c>
      <c r="L210" s="13">
        <f t="shared" si="44"/>
        <v>0</v>
      </c>
      <c r="M210" s="13">
        <f t="shared" si="45"/>
        <v>0</v>
      </c>
    </row>
    <row r="211" spans="2:19" x14ac:dyDescent="0.2">
      <c r="B211" s="2">
        <v>201</v>
      </c>
      <c r="C211" s="13">
        <f t="shared" si="46"/>
        <v>0</v>
      </c>
      <c r="D211" s="119">
        <f t="shared" si="47"/>
        <v>0</v>
      </c>
      <c r="E211" s="13">
        <f t="shared" si="48"/>
        <v>0</v>
      </c>
      <c r="F211" s="13">
        <f t="shared" si="49"/>
        <v>0</v>
      </c>
      <c r="G211" s="13">
        <f t="shared" si="50"/>
        <v>0</v>
      </c>
      <c r="I211" s="120">
        <f t="shared" si="42"/>
        <v>0</v>
      </c>
      <c r="J211" s="120">
        <f t="shared" si="43"/>
        <v>0</v>
      </c>
      <c r="L211" s="13">
        <f t="shared" si="44"/>
        <v>0</v>
      </c>
      <c r="M211" s="13">
        <f t="shared" si="45"/>
        <v>0</v>
      </c>
    </row>
    <row r="212" spans="2:19" x14ac:dyDescent="0.2">
      <c r="B212" s="2">
        <v>202</v>
      </c>
      <c r="C212" s="13">
        <f t="shared" si="46"/>
        <v>0</v>
      </c>
      <c r="D212" s="119">
        <f t="shared" si="47"/>
        <v>0</v>
      </c>
      <c r="E212" s="13">
        <f t="shared" si="48"/>
        <v>0</v>
      </c>
      <c r="F212" s="13">
        <f t="shared" si="49"/>
        <v>0</v>
      </c>
      <c r="G212" s="13">
        <f t="shared" si="50"/>
        <v>0</v>
      </c>
      <c r="I212" s="120">
        <f t="shared" si="42"/>
        <v>0</v>
      </c>
      <c r="J212" s="120">
        <f t="shared" si="43"/>
        <v>0</v>
      </c>
      <c r="L212" s="13">
        <f t="shared" si="44"/>
        <v>0</v>
      </c>
      <c r="M212" s="13">
        <f t="shared" si="45"/>
        <v>0</v>
      </c>
    </row>
    <row r="213" spans="2:19" x14ac:dyDescent="0.2">
      <c r="B213" s="2">
        <v>203</v>
      </c>
      <c r="C213" s="13">
        <f t="shared" si="46"/>
        <v>0</v>
      </c>
      <c r="D213" s="119">
        <f t="shared" si="47"/>
        <v>0</v>
      </c>
      <c r="E213" s="13">
        <f t="shared" si="48"/>
        <v>0</v>
      </c>
      <c r="F213" s="13">
        <f t="shared" si="49"/>
        <v>0</v>
      </c>
      <c r="G213" s="13">
        <f t="shared" si="50"/>
        <v>0</v>
      </c>
      <c r="I213" s="120">
        <f t="shared" si="42"/>
        <v>0</v>
      </c>
      <c r="J213" s="120">
        <f t="shared" si="43"/>
        <v>0</v>
      </c>
      <c r="L213" s="13">
        <f t="shared" si="44"/>
        <v>0</v>
      </c>
      <c r="M213" s="13">
        <f t="shared" si="45"/>
        <v>0</v>
      </c>
    </row>
    <row r="214" spans="2:19" x14ac:dyDescent="0.2">
      <c r="B214" s="2">
        <v>204</v>
      </c>
      <c r="C214" s="13">
        <f t="shared" si="46"/>
        <v>0</v>
      </c>
      <c r="D214" s="119">
        <f t="shared" si="47"/>
        <v>0</v>
      </c>
      <c r="E214" s="13">
        <f t="shared" si="48"/>
        <v>0</v>
      </c>
      <c r="F214" s="13">
        <f t="shared" si="49"/>
        <v>0</v>
      </c>
      <c r="G214" s="13">
        <f t="shared" si="50"/>
        <v>0</v>
      </c>
      <c r="I214" s="120">
        <f t="shared" si="42"/>
        <v>0</v>
      </c>
      <c r="J214" s="120">
        <f t="shared" si="43"/>
        <v>0</v>
      </c>
      <c r="L214" s="13">
        <f t="shared" si="44"/>
        <v>0</v>
      </c>
      <c r="M214" s="13">
        <f t="shared" si="45"/>
        <v>0</v>
      </c>
      <c r="R214" s="129">
        <f t="shared" ref="R214:S214" si="51">SUM(L203:L214)</f>
        <v>0</v>
      </c>
      <c r="S214" s="129">
        <f t="shared" si="51"/>
        <v>0</v>
      </c>
    </row>
    <row r="215" spans="2:19" x14ac:dyDescent="0.2">
      <c r="B215" s="2">
        <v>205</v>
      </c>
      <c r="C215" s="13">
        <f t="shared" si="46"/>
        <v>0</v>
      </c>
      <c r="D215" s="119">
        <f t="shared" si="47"/>
        <v>0</v>
      </c>
      <c r="E215" s="13">
        <f t="shared" si="48"/>
        <v>0</v>
      </c>
      <c r="F215" s="13">
        <f t="shared" si="49"/>
        <v>0</v>
      </c>
      <c r="G215" s="13">
        <f t="shared" si="50"/>
        <v>0</v>
      </c>
      <c r="I215" s="120">
        <f t="shared" si="42"/>
        <v>0</v>
      </c>
      <c r="J215" s="120">
        <f t="shared" si="43"/>
        <v>0</v>
      </c>
      <c r="L215" s="13">
        <f t="shared" si="44"/>
        <v>0</v>
      </c>
      <c r="M215" s="13">
        <f t="shared" si="45"/>
        <v>0</v>
      </c>
    </row>
    <row r="216" spans="2:19" x14ac:dyDescent="0.2">
      <c r="B216" s="2">
        <v>206</v>
      </c>
      <c r="C216" s="13">
        <f t="shared" si="46"/>
        <v>0</v>
      </c>
      <c r="D216" s="119">
        <f t="shared" si="47"/>
        <v>0</v>
      </c>
      <c r="E216" s="13">
        <f t="shared" si="48"/>
        <v>0</v>
      </c>
      <c r="F216" s="13">
        <f t="shared" si="49"/>
        <v>0</v>
      </c>
      <c r="G216" s="13">
        <f t="shared" si="50"/>
        <v>0</v>
      </c>
      <c r="I216" s="120">
        <f t="shared" si="42"/>
        <v>0</v>
      </c>
      <c r="J216" s="120">
        <f t="shared" si="43"/>
        <v>0</v>
      </c>
      <c r="L216" s="13">
        <f t="shared" si="44"/>
        <v>0</v>
      </c>
      <c r="M216" s="13">
        <f t="shared" si="45"/>
        <v>0</v>
      </c>
    </row>
    <row r="217" spans="2:19" x14ac:dyDescent="0.2">
      <c r="B217" s="2">
        <v>207</v>
      </c>
      <c r="C217" s="13">
        <f t="shared" si="46"/>
        <v>0</v>
      </c>
      <c r="D217" s="119">
        <f t="shared" si="47"/>
        <v>0</v>
      </c>
      <c r="E217" s="13">
        <f t="shared" si="48"/>
        <v>0</v>
      </c>
      <c r="F217" s="13">
        <f t="shared" si="49"/>
        <v>0</v>
      </c>
      <c r="G217" s="13">
        <f t="shared" si="50"/>
        <v>0</v>
      </c>
      <c r="I217" s="120">
        <f t="shared" si="42"/>
        <v>0</v>
      </c>
      <c r="J217" s="120">
        <f t="shared" si="43"/>
        <v>0</v>
      </c>
      <c r="L217" s="13">
        <f t="shared" si="44"/>
        <v>0</v>
      </c>
      <c r="M217" s="13">
        <f t="shared" si="45"/>
        <v>0</v>
      </c>
    </row>
    <row r="218" spans="2:19" x14ac:dyDescent="0.2">
      <c r="B218" s="2">
        <v>208</v>
      </c>
      <c r="C218" s="13">
        <f t="shared" si="46"/>
        <v>0</v>
      </c>
      <c r="D218" s="119">
        <f t="shared" si="47"/>
        <v>0</v>
      </c>
      <c r="E218" s="13">
        <f t="shared" si="48"/>
        <v>0</v>
      </c>
      <c r="F218" s="13">
        <f t="shared" si="49"/>
        <v>0</v>
      </c>
      <c r="G218" s="13">
        <f t="shared" si="50"/>
        <v>0</v>
      </c>
      <c r="I218" s="120">
        <f t="shared" si="42"/>
        <v>0</v>
      </c>
      <c r="J218" s="120">
        <f t="shared" si="43"/>
        <v>0</v>
      </c>
      <c r="L218" s="13">
        <f t="shared" si="44"/>
        <v>0</v>
      </c>
      <c r="M218" s="13">
        <f t="shared" si="45"/>
        <v>0</v>
      </c>
    </row>
    <row r="219" spans="2:19" x14ac:dyDescent="0.2">
      <c r="B219" s="2">
        <v>209</v>
      </c>
      <c r="C219" s="13">
        <f t="shared" si="46"/>
        <v>0</v>
      </c>
      <c r="D219" s="119">
        <f t="shared" si="47"/>
        <v>0</v>
      </c>
      <c r="E219" s="13">
        <f t="shared" si="48"/>
        <v>0</v>
      </c>
      <c r="F219" s="13">
        <f t="shared" si="49"/>
        <v>0</v>
      </c>
      <c r="G219" s="13">
        <f t="shared" si="50"/>
        <v>0</v>
      </c>
      <c r="I219" s="120">
        <f t="shared" si="42"/>
        <v>0</v>
      </c>
      <c r="J219" s="120">
        <f t="shared" si="43"/>
        <v>0</v>
      </c>
      <c r="L219" s="13">
        <f t="shared" si="44"/>
        <v>0</v>
      </c>
      <c r="M219" s="13">
        <f t="shared" si="45"/>
        <v>0</v>
      </c>
    </row>
    <row r="220" spans="2:19" x14ac:dyDescent="0.2">
      <c r="B220" s="2">
        <v>210</v>
      </c>
      <c r="C220" s="13">
        <f t="shared" si="46"/>
        <v>0</v>
      </c>
      <c r="D220" s="119">
        <f t="shared" si="47"/>
        <v>0</v>
      </c>
      <c r="E220" s="13">
        <f t="shared" si="48"/>
        <v>0</v>
      </c>
      <c r="F220" s="13">
        <f t="shared" si="49"/>
        <v>0</v>
      </c>
      <c r="G220" s="13">
        <f t="shared" si="50"/>
        <v>0</v>
      </c>
      <c r="I220" s="120">
        <f t="shared" si="42"/>
        <v>0</v>
      </c>
      <c r="J220" s="120">
        <f t="shared" si="43"/>
        <v>0</v>
      </c>
      <c r="L220" s="13">
        <f t="shared" si="44"/>
        <v>0</v>
      </c>
      <c r="M220" s="13">
        <f t="shared" si="45"/>
        <v>0</v>
      </c>
    </row>
    <row r="221" spans="2:19" x14ac:dyDescent="0.2">
      <c r="B221" s="2">
        <v>211</v>
      </c>
      <c r="C221" s="13">
        <f t="shared" si="46"/>
        <v>0</v>
      </c>
      <c r="D221" s="119">
        <f t="shared" si="47"/>
        <v>0</v>
      </c>
      <c r="E221" s="13">
        <f t="shared" si="48"/>
        <v>0</v>
      </c>
      <c r="F221" s="13">
        <f t="shared" si="49"/>
        <v>0</v>
      </c>
      <c r="G221" s="13">
        <f t="shared" si="50"/>
        <v>0</v>
      </c>
      <c r="I221" s="120">
        <f t="shared" si="42"/>
        <v>0</v>
      </c>
      <c r="J221" s="120">
        <f t="shared" si="43"/>
        <v>0</v>
      </c>
      <c r="L221" s="13">
        <f t="shared" si="44"/>
        <v>0</v>
      </c>
      <c r="M221" s="13">
        <f t="shared" si="45"/>
        <v>0</v>
      </c>
    </row>
    <row r="222" spans="2:19" x14ac:dyDescent="0.2">
      <c r="B222" s="2">
        <v>212</v>
      </c>
      <c r="C222" s="13">
        <f t="shared" si="46"/>
        <v>0</v>
      </c>
      <c r="D222" s="119">
        <f t="shared" si="47"/>
        <v>0</v>
      </c>
      <c r="E222" s="13">
        <f t="shared" si="48"/>
        <v>0</v>
      </c>
      <c r="F222" s="13">
        <f t="shared" si="49"/>
        <v>0</v>
      </c>
      <c r="G222" s="13">
        <f t="shared" si="50"/>
        <v>0</v>
      </c>
      <c r="I222" s="120">
        <f t="shared" si="42"/>
        <v>0</v>
      </c>
      <c r="J222" s="120">
        <f t="shared" si="43"/>
        <v>0</v>
      </c>
      <c r="L222" s="13">
        <f t="shared" si="44"/>
        <v>0</v>
      </c>
      <c r="M222" s="13">
        <f t="shared" si="45"/>
        <v>0</v>
      </c>
    </row>
    <row r="223" spans="2:19" x14ac:dyDescent="0.2">
      <c r="B223" s="2">
        <v>213</v>
      </c>
      <c r="C223" s="13">
        <f t="shared" si="46"/>
        <v>0</v>
      </c>
      <c r="D223" s="119">
        <f t="shared" si="47"/>
        <v>0</v>
      </c>
      <c r="E223" s="13">
        <f t="shared" si="48"/>
        <v>0</v>
      </c>
      <c r="F223" s="13">
        <f t="shared" si="49"/>
        <v>0</v>
      </c>
      <c r="G223" s="13">
        <f t="shared" si="50"/>
        <v>0</v>
      </c>
      <c r="I223" s="120">
        <f t="shared" si="42"/>
        <v>0</v>
      </c>
      <c r="J223" s="120">
        <f t="shared" si="43"/>
        <v>0</v>
      </c>
      <c r="L223" s="13">
        <f t="shared" si="44"/>
        <v>0</v>
      </c>
      <c r="M223" s="13">
        <f t="shared" si="45"/>
        <v>0</v>
      </c>
    </row>
    <row r="224" spans="2:19" x14ac:dyDescent="0.2">
      <c r="B224" s="2">
        <v>214</v>
      </c>
      <c r="C224" s="13">
        <f t="shared" si="46"/>
        <v>0</v>
      </c>
      <c r="D224" s="119">
        <f t="shared" si="47"/>
        <v>0</v>
      </c>
      <c r="E224" s="13">
        <f t="shared" si="48"/>
        <v>0</v>
      </c>
      <c r="F224" s="13">
        <f t="shared" si="49"/>
        <v>0</v>
      </c>
      <c r="G224" s="13">
        <f t="shared" si="50"/>
        <v>0</v>
      </c>
      <c r="I224" s="120">
        <f t="shared" si="42"/>
        <v>0</v>
      </c>
      <c r="J224" s="120">
        <f t="shared" si="43"/>
        <v>0</v>
      </c>
      <c r="L224" s="13">
        <f t="shared" si="44"/>
        <v>0</v>
      </c>
      <c r="M224" s="13">
        <f t="shared" si="45"/>
        <v>0</v>
      </c>
    </row>
    <row r="225" spans="2:19" x14ac:dyDescent="0.2">
      <c r="B225" s="2">
        <v>215</v>
      </c>
      <c r="C225" s="13">
        <f t="shared" si="46"/>
        <v>0</v>
      </c>
      <c r="D225" s="119">
        <f t="shared" si="47"/>
        <v>0</v>
      </c>
      <c r="E225" s="13">
        <f t="shared" si="48"/>
        <v>0</v>
      </c>
      <c r="F225" s="13">
        <f t="shared" si="49"/>
        <v>0</v>
      </c>
      <c r="G225" s="13">
        <f t="shared" si="50"/>
        <v>0</v>
      </c>
      <c r="I225" s="120">
        <f t="shared" si="42"/>
        <v>0</v>
      </c>
      <c r="J225" s="120">
        <f t="shared" si="43"/>
        <v>0</v>
      </c>
      <c r="L225" s="13">
        <f t="shared" si="44"/>
        <v>0</v>
      </c>
      <c r="M225" s="13">
        <f t="shared" si="45"/>
        <v>0</v>
      </c>
    </row>
    <row r="226" spans="2:19" x14ac:dyDescent="0.2">
      <c r="B226" s="2">
        <v>216</v>
      </c>
      <c r="C226" s="13">
        <f t="shared" si="46"/>
        <v>0</v>
      </c>
      <c r="D226" s="119">
        <f t="shared" si="47"/>
        <v>0</v>
      </c>
      <c r="E226" s="13">
        <f t="shared" si="48"/>
        <v>0</v>
      </c>
      <c r="F226" s="13">
        <f t="shared" si="49"/>
        <v>0</v>
      </c>
      <c r="G226" s="13">
        <f t="shared" si="50"/>
        <v>0</v>
      </c>
      <c r="I226" s="120">
        <f t="shared" si="42"/>
        <v>0</v>
      </c>
      <c r="J226" s="120">
        <f t="shared" si="43"/>
        <v>0</v>
      </c>
      <c r="L226" s="13">
        <f t="shared" si="44"/>
        <v>0</v>
      </c>
      <c r="M226" s="13">
        <f t="shared" si="45"/>
        <v>0</v>
      </c>
      <c r="R226" s="129">
        <f t="shared" ref="R226:S226" si="52">SUM(L215:L226)</f>
        <v>0</v>
      </c>
      <c r="S226" s="129">
        <f t="shared" si="52"/>
        <v>0</v>
      </c>
    </row>
    <row r="227" spans="2:19" x14ac:dyDescent="0.2">
      <c r="B227" s="2">
        <v>217</v>
      </c>
      <c r="C227" s="13">
        <f t="shared" si="46"/>
        <v>0</v>
      </c>
      <c r="D227" s="119">
        <f t="shared" si="47"/>
        <v>0</v>
      </c>
      <c r="E227" s="13">
        <f t="shared" si="48"/>
        <v>0</v>
      </c>
      <c r="F227" s="13">
        <f t="shared" si="49"/>
        <v>0</v>
      </c>
      <c r="G227" s="13">
        <f t="shared" si="50"/>
        <v>0</v>
      </c>
      <c r="I227" s="120">
        <f t="shared" si="42"/>
        <v>0</v>
      </c>
      <c r="J227" s="120">
        <f t="shared" si="43"/>
        <v>0</v>
      </c>
      <c r="L227" s="13">
        <f t="shared" si="44"/>
        <v>0</v>
      </c>
      <c r="M227" s="13">
        <f t="shared" si="45"/>
        <v>0</v>
      </c>
    </row>
    <row r="228" spans="2:19" x14ac:dyDescent="0.2">
      <c r="B228" s="2">
        <v>218</v>
      </c>
      <c r="C228" s="13">
        <f t="shared" si="46"/>
        <v>0</v>
      </c>
      <c r="D228" s="119">
        <f t="shared" si="47"/>
        <v>0</v>
      </c>
      <c r="E228" s="13">
        <f t="shared" si="48"/>
        <v>0</v>
      </c>
      <c r="F228" s="13">
        <f t="shared" si="49"/>
        <v>0</v>
      </c>
      <c r="G228" s="13">
        <f t="shared" si="50"/>
        <v>0</v>
      </c>
      <c r="I228" s="120">
        <f t="shared" si="42"/>
        <v>0</v>
      </c>
      <c r="J228" s="120">
        <f t="shared" si="43"/>
        <v>0</v>
      </c>
      <c r="L228" s="13">
        <f t="shared" si="44"/>
        <v>0</v>
      </c>
      <c r="M228" s="13">
        <f t="shared" si="45"/>
        <v>0</v>
      </c>
    </row>
    <row r="229" spans="2:19" x14ac:dyDescent="0.2">
      <c r="B229" s="2">
        <v>219</v>
      </c>
      <c r="C229" s="13">
        <f t="shared" si="46"/>
        <v>0</v>
      </c>
      <c r="D229" s="119">
        <f t="shared" si="47"/>
        <v>0</v>
      </c>
      <c r="E229" s="13">
        <f t="shared" si="48"/>
        <v>0</v>
      </c>
      <c r="F229" s="13">
        <f t="shared" si="49"/>
        <v>0</v>
      </c>
      <c r="G229" s="13">
        <f t="shared" si="50"/>
        <v>0</v>
      </c>
      <c r="I229" s="120">
        <f t="shared" si="42"/>
        <v>0</v>
      </c>
      <c r="J229" s="120">
        <f t="shared" si="43"/>
        <v>0</v>
      </c>
      <c r="L229" s="13">
        <f t="shared" si="44"/>
        <v>0</v>
      </c>
      <c r="M229" s="13">
        <f t="shared" si="45"/>
        <v>0</v>
      </c>
    </row>
    <row r="230" spans="2:19" x14ac:dyDescent="0.2">
      <c r="B230" s="2">
        <v>220</v>
      </c>
      <c r="C230" s="13">
        <f t="shared" si="46"/>
        <v>0</v>
      </c>
      <c r="D230" s="119">
        <f t="shared" si="47"/>
        <v>0</v>
      </c>
      <c r="E230" s="13">
        <f t="shared" si="48"/>
        <v>0</v>
      </c>
      <c r="F230" s="13">
        <f t="shared" si="49"/>
        <v>0</v>
      </c>
      <c r="G230" s="13">
        <f t="shared" si="50"/>
        <v>0</v>
      </c>
      <c r="I230" s="120">
        <f t="shared" si="42"/>
        <v>0</v>
      </c>
      <c r="J230" s="120">
        <f t="shared" si="43"/>
        <v>0</v>
      </c>
      <c r="L230" s="13">
        <f t="shared" si="44"/>
        <v>0</v>
      </c>
      <c r="M230" s="13">
        <f t="shared" si="45"/>
        <v>0</v>
      </c>
    </row>
    <row r="231" spans="2:19" x14ac:dyDescent="0.2">
      <c r="B231" s="2">
        <v>221</v>
      </c>
      <c r="C231" s="13">
        <f t="shared" si="46"/>
        <v>0</v>
      </c>
      <c r="D231" s="119">
        <f t="shared" si="47"/>
        <v>0</v>
      </c>
      <c r="E231" s="13">
        <f t="shared" si="48"/>
        <v>0</v>
      </c>
      <c r="F231" s="13">
        <f t="shared" si="49"/>
        <v>0</v>
      </c>
      <c r="G231" s="13">
        <f t="shared" si="50"/>
        <v>0</v>
      </c>
      <c r="I231" s="120">
        <f t="shared" si="42"/>
        <v>0</v>
      </c>
      <c r="J231" s="120">
        <f t="shared" si="43"/>
        <v>0</v>
      </c>
      <c r="L231" s="13">
        <f t="shared" si="44"/>
        <v>0</v>
      </c>
      <c r="M231" s="13">
        <f t="shared" si="45"/>
        <v>0</v>
      </c>
    </row>
    <row r="232" spans="2:19" x14ac:dyDescent="0.2">
      <c r="B232" s="2">
        <v>222</v>
      </c>
      <c r="C232" s="13">
        <f t="shared" si="46"/>
        <v>0</v>
      </c>
      <c r="D232" s="119">
        <f t="shared" si="47"/>
        <v>0</v>
      </c>
      <c r="E232" s="13">
        <f t="shared" si="48"/>
        <v>0</v>
      </c>
      <c r="F232" s="13">
        <f t="shared" si="49"/>
        <v>0</v>
      </c>
      <c r="G232" s="13">
        <f t="shared" si="50"/>
        <v>0</v>
      </c>
      <c r="I232" s="120">
        <f t="shared" si="42"/>
        <v>0</v>
      </c>
      <c r="J232" s="120">
        <f t="shared" si="43"/>
        <v>0</v>
      </c>
      <c r="L232" s="13">
        <f t="shared" si="44"/>
        <v>0</v>
      </c>
      <c r="M232" s="13">
        <f t="shared" si="45"/>
        <v>0</v>
      </c>
    </row>
    <row r="233" spans="2:19" x14ac:dyDescent="0.2">
      <c r="B233" s="2">
        <v>223</v>
      </c>
      <c r="C233" s="13">
        <f t="shared" si="46"/>
        <v>0</v>
      </c>
      <c r="D233" s="119">
        <f t="shared" si="47"/>
        <v>0</v>
      </c>
      <c r="E233" s="13">
        <f t="shared" si="48"/>
        <v>0</v>
      </c>
      <c r="F233" s="13">
        <f t="shared" si="49"/>
        <v>0</v>
      </c>
      <c r="G233" s="13">
        <f t="shared" si="50"/>
        <v>0</v>
      </c>
      <c r="I233" s="120">
        <f t="shared" si="42"/>
        <v>0</v>
      </c>
      <c r="J233" s="120">
        <f t="shared" si="43"/>
        <v>0</v>
      </c>
      <c r="L233" s="13">
        <f t="shared" si="44"/>
        <v>0</v>
      </c>
      <c r="M233" s="13">
        <f t="shared" si="45"/>
        <v>0</v>
      </c>
    </row>
    <row r="234" spans="2:19" x14ac:dyDescent="0.2">
      <c r="B234" s="2">
        <v>224</v>
      </c>
      <c r="C234" s="13">
        <f t="shared" si="46"/>
        <v>0</v>
      </c>
      <c r="D234" s="119">
        <f t="shared" si="47"/>
        <v>0</v>
      </c>
      <c r="E234" s="13">
        <f t="shared" si="48"/>
        <v>0</v>
      </c>
      <c r="F234" s="13">
        <f t="shared" si="49"/>
        <v>0</v>
      </c>
      <c r="G234" s="13">
        <f t="shared" si="50"/>
        <v>0</v>
      </c>
      <c r="I234" s="120">
        <f t="shared" si="42"/>
        <v>0</v>
      </c>
      <c r="J234" s="120">
        <f t="shared" si="43"/>
        <v>0</v>
      </c>
      <c r="L234" s="13">
        <f t="shared" si="44"/>
        <v>0</v>
      </c>
      <c r="M234" s="13">
        <f t="shared" si="45"/>
        <v>0</v>
      </c>
    </row>
    <row r="235" spans="2:19" x14ac:dyDescent="0.2">
      <c r="B235" s="2">
        <v>225</v>
      </c>
      <c r="C235" s="13">
        <f t="shared" si="46"/>
        <v>0</v>
      </c>
      <c r="D235" s="119">
        <f t="shared" si="47"/>
        <v>0</v>
      </c>
      <c r="E235" s="13">
        <f t="shared" si="48"/>
        <v>0</v>
      </c>
      <c r="F235" s="13">
        <f t="shared" si="49"/>
        <v>0</v>
      </c>
      <c r="G235" s="13">
        <f t="shared" si="50"/>
        <v>0</v>
      </c>
      <c r="I235" s="120">
        <f t="shared" si="42"/>
        <v>0</v>
      </c>
      <c r="J235" s="120">
        <f t="shared" si="43"/>
        <v>0</v>
      </c>
      <c r="L235" s="13">
        <f t="shared" si="44"/>
        <v>0</v>
      </c>
      <c r="M235" s="13">
        <f t="shared" si="45"/>
        <v>0</v>
      </c>
    </row>
    <row r="236" spans="2:19" x14ac:dyDescent="0.2">
      <c r="B236" s="2">
        <v>226</v>
      </c>
      <c r="C236" s="13">
        <f t="shared" si="46"/>
        <v>0</v>
      </c>
      <c r="D236" s="119">
        <f t="shared" si="47"/>
        <v>0</v>
      </c>
      <c r="E236" s="13">
        <f t="shared" si="48"/>
        <v>0</v>
      </c>
      <c r="F236" s="13">
        <f t="shared" si="49"/>
        <v>0</v>
      </c>
      <c r="G236" s="13">
        <f t="shared" si="50"/>
        <v>0</v>
      </c>
      <c r="I236" s="120">
        <f t="shared" si="42"/>
        <v>0</v>
      </c>
      <c r="J236" s="120">
        <f t="shared" si="43"/>
        <v>0</v>
      </c>
      <c r="L236" s="13">
        <f t="shared" si="44"/>
        <v>0</v>
      </c>
      <c r="M236" s="13">
        <f t="shared" si="45"/>
        <v>0</v>
      </c>
    </row>
    <row r="237" spans="2:19" x14ac:dyDescent="0.2">
      <c r="B237" s="2">
        <v>227</v>
      </c>
      <c r="C237" s="13">
        <f t="shared" si="46"/>
        <v>0</v>
      </c>
      <c r="D237" s="119">
        <f t="shared" si="47"/>
        <v>0</v>
      </c>
      <c r="E237" s="13">
        <f t="shared" si="48"/>
        <v>0</v>
      </c>
      <c r="F237" s="13">
        <f t="shared" si="49"/>
        <v>0</v>
      </c>
      <c r="G237" s="13">
        <f t="shared" si="50"/>
        <v>0</v>
      </c>
      <c r="I237" s="120">
        <f t="shared" si="42"/>
        <v>0</v>
      </c>
      <c r="J237" s="120">
        <f t="shared" si="43"/>
        <v>0</v>
      </c>
      <c r="L237" s="13">
        <f t="shared" si="44"/>
        <v>0</v>
      </c>
      <c r="M237" s="13">
        <f t="shared" si="45"/>
        <v>0</v>
      </c>
    </row>
    <row r="238" spans="2:19" x14ac:dyDescent="0.2">
      <c r="B238" s="2">
        <v>228</v>
      </c>
      <c r="C238" s="13">
        <f t="shared" si="46"/>
        <v>0</v>
      </c>
      <c r="D238" s="119">
        <f t="shared" si="47"/>
        <v>0</v>
      </c>
      <c r="E238" s="13">
        <f t="shared" si="48"/>
        <v>0</v>
      </c>
      <c r="F238" s="13">
        <f t="shared" si="49"/>
        <v>0</v>
      </c>
      <c r="G238" s="13">
        <f t="shared" si="50"/>
        <v>0</v>
      </c>
      <c r="I238" s="120">
        <f t="shared" si="42"/>
        <v>0</v>
      </c>
      <c r="J238" s="120">
        <f t="shared" si="43"/>
        <v>0</v>
      </c>
      <c r="L238" s="13">
        <f t="shared" si="44"/>
        <v>0</v>
      </c>
      <c r="M238" s="13">
        <f t="shared" si="45"/>
        <v>0</v>
      </c>
      <c r="R238" s="129">
        <f t="shared" ref="R238:S238" si="53">SUM(L227:L238)</f>
        <v>0</v>
      </c>
      <c r="S238" s="129">
        <f t="shared" si="53"/>
        <v>0</v>
      </c>
    </row>
    <row r="239" spans="2:19" x14ac:dyDescent="0.2">
      <c r="B239" s="2">
        <v>229</v>
      </c>
      <c r="C239" s="13">
        <f t="shared" si="46"/>
        <v>0</v>
      </c>
      <c r="D239" s="119">
        <f t="shared" si="47"/>
        <v>0</v>
      </c>
      <c r="E239" s="13">
        <f t="shared" si="48"/>
        <v>0</v>
      </c>
      <c r="F239" s="13">
        <f t="shared" si="49"/>
        <v>0</v>
      </c>
      <c r="G239" s="13">
        <f t="shared" si="50"/>
        <v>0</v>
      </c>
      <c r="I239" s="120">
        <f t="shared" si="42"/>
        <v>0</v>
      </c>
      <c r="J239" s="120">
        <f t="shared" si="43"/>
        <v>0</v>
      </c>
      <c r="L239" s="13">
        <f t="shared" si="44"/>
        <v>0</v>
      </c>
      <c r="M239" s="13">
        <f t="shared" si="45"/>
        <v>0</v>
      </c>
    </row>
    <row r="240" spans="2:19" x14ac:dyDescent="0.2">
      <c r="B240" s="2">
        <v>230</v>
      </c>
      <c r="C240" s="13">
        <f t="shared" si="46"/>
        <v>0</v>
      </c>
      <c r="D240" s="119">
        <f t="shared" si="47"/>
        <v>0</v>
      </c>
      <c r="E240" s="13">
        <f t="shared" si="48"/>
        <v>0</v>
      </c>
      <c r="F240" s="13">
        <f t="shared" si="49"/>
        <v>0</v>
      </c>
      <c r="G240" s="13">
        <f t="shared" si="50"/>
        <v>0</v>
      </c>
      <c r="I240" s="120">
        <f t="shared" si="42"/>
        <v>0</v>
      </c>
      <c r="J240" s="120">
        <f t="shared" si="43"/>
        <v>0</v>
      </c>
      <c r="L240" s="13">
        <f t="shared" si="44"/>
        <v>0</v>
      </c>
      <c r="M240" s="13">
        <f t="shared" si="45"/>
        <v>0</v>
      </c>
    </row>
    <row r="241" spans="2:19" x14ac:dyDescent="0.2">
      <c r="B241" s="2">
        <v>231</v>
      </c>
      <c r="C241" s="13">
        <f t="shared" si="46"/>
        <v>0</v>
      </c>
      <c r="D241" s="119">
        <f t="shared" si="47"/>
        <v>0</v>
      </c>
      <c r="E241" s="13">
        <f t="shared" si="48"/>
        <v>0</v>
      </c>
      <c r="F241" s="13">
        <f t="shared" si="49"/>
        <v>0</v>
      </c>
      <c r="G241" s="13">
        <f t="shared" si="50"/>
        <v>0</v>
      </c>
      <c r="I241" s="120">
        <f t="shared" si="42"/>
        <v>0</v>
      </c>
      <c r="J241" s="120">
        <f t="shared" si="43"/>
        <v>0</v>
      </c>
      <c r="L241" s="13">
        <f t="shared" si="44"/>
        <v>0</v>
      </c>
      <c r="M241" s="13">
        <f t="shared" si="45"/>
        <v>0</v>
      </c>
    </row>
    <row r="242" spans="2:19" x14ac:dyDescent="0.2">
      <c r="B242" s="2">
        <v>232</v>
      </c>
      <c r="C242" s="13">
        <f t="shared" si="46"/>
        <v>0</v>
      </c>
      <c r="D242" s="119">
        <f t="shared" si="47"/>
        <v>0</v>
      </c>
      <c r="E242" s="13">
        <f t="shared" si="48"/>
        <v>0</v>
      </c>
      <c r="F242" s="13">
        <f t="shared" si="49"/>
        <v>0</v>
      </c>
      <c r="G242" s="13">
        <f t="shared" si="50"/>
        <v>0</v>
      </c>
      <c r="I242" s="120">
        <f t="shared" si="42"/>
        <v>0</v>
      </c>
      <c r="J242" s="120">
        <f t="shared" si="43"/>
        <v>0</v>
      </c>
      <c r="L242" s="13">
        <f t="shared" si="44"/>
        <v>0</v>
      </c>
      <c r="M242" s="13">
        <f t="shared" si="45"/>
        <v>0</v>
      </c>
    </row>
    <row r="243" spans="2:19" x14ac:dyDescent="0.2">
      <c r="B243" s="2">
        <v>233</v>
      </c>
      <c r="C243" s="13">
        <f t="shared" si="46"/>
        <v>0</v>
      </c>
      <c r="D243" s="119">
        <f t="shared" si="47"/>
        <v>0</v>
      </c>
      <c r="E243" s="13">
        <f t="shared" si="48"/>
        <v>0</v>
      </c>
      <c r="F243" s="13">
        <f t="shared" si="49"/>
        <v>0</v>
      </c>
      <c r="G243" s="13">
        <f t="shared" si="50"/>
        <v>0</v>
      </c>
      <c r="I243" s="120">
        <f t="shared" si="42"/>
        <v>0</v>
      </c>
      <c r="J243" s="120">
        <f t="shared" si="43"/>
        <v>0</v>
      </c>
      <c r="L243" s="13">
        <f t="shared" si="44"/>
        <v>0</v>
      </c>
      <c r="M243" s="13">
        <f t="shared" si="45"/>
        <v>0</v>
      </c>
    </row>
    <row r="244" spans="2:19" x14ac:dyDescent="0.2">
      <c r="B244" s="2">
        <v>234</v>
      </c>
      <c r="C244" s="13">
        <f t="shared" si="46"/>
        <v>0</v>
      </c>
      <c r="D244" s="119">
        <f t="shared" si="47"/>
        <v>0</v>
      </c>
      <c r="E244" s="13">
        <f t="shared" si="48"/>
        <v>0</v>
      </c>
      <c r="F244" s="13">
        <f t="shared" si="49"/>
        <v>0</v>
      </c>
      <c r="G244" s="13">
        <f t="shared" si="50"/>
        <v>0</v>
      </c>
      <c r="I244" s="120">
        <f t="shared" si="42"/>
        <v>0</v>
      </c>
      <c r="J244" s="120">
        <f t="shared" si="43"/>
        <v>0</v>
      </c>
      <c r="L244" s="13">
        <f t="shared" si="44"/>
        <v>0</v>
      </c>
      <c r="M244" s="13">
        <f t="shared" si="45"/>
        <v>0</v>
      </c>
    </row>
    <row r="245" spans="2:19" x14ac:dyDescent="0.2">
      <c r="B245" s="2">
        <v>235</v>
      </c>
      <c r="C245" s="13">
        <f t="shared" si="46"/>
        <v>0</v>
      </c>
      <c r="D245" s="119">
        <f t="shared" si="47"/>
        <v>0</v>
      </c>
      <c r="E245" s="13">
        <f t="shared" si="48"/>
        <v>0</v>
      </c>
      <c r="F245" s="13">
        <f t="shared" si="49"/>
        <v>0</v>
      </c>
      <c r="G245" s="13">
        <f t="shared" si="50"/>
        <v>0</v>
      </c>
      <c r="I245" s="120">
        <f t="shared" si="42"/>
        <v>0</v>
      </c>
      <c r="J245" s="120">
        <f t="shared" si="43"/>
        <v>0</v>
      </c>
      <c r="L245" s="13">
        <f t="shared" si="44"/>
        <v>0</v>
      </c>
      <c r="M245" s="13">
        <f t="shared" si="45"/>
        <v>0</v>
      </c>
    </row>
    <row r="246" spans="2:19" x14ac:dyDescent="0.2">
      <c r="B246" s="2">
        <v>236</v>
      </c>
      <c r="C246" s="13">
        <f t="shared" si="46"/>
        <v>0</v>
      </c>
      <c r="D246" s="119">
        <f t="shared" si="47"/>
        <v>0</v>
      </c>
      <c r="E246" s="13">
        <f t="shared" si="48"/>
        <v>0</v>
      </c>
      <c r="F246" s="13">
        <f t="shared" si="49"/>
        <v>0</v>
      </c>
      <c r="G246" s="13">
        <f t="shared" si="50"/>
        <v>0</v>
      </c>
      <c r="I246" s="120">
        <f t="shared" si="42"/>
        <v>0</v>
      </c>
      <c r="J246" s="120">
        <f t="shared" si="43"/>
        <v>0</v>
      </c>
      <c r="L246" s="13">
        <f t="shared" si="44"/>
        <v>0</v>
      </c>
      <c r="M246" s="13">
        <f t="shared" si="45"/>
        <v>0</v>
      </c>
    </row>
    <row r="247" spans="2:19" x14ac:dyDescent="0.2">
      <c r="B247" s="2">
        <v>237</v>
      </c>
      <c r="C247" s="13">
        <f t="shared" si="46"/>
        <v>0</v>
      </c>
      <c r="D247" s="119">
        <f t="shared" si="47"/>
        <v>0</v>
      </c>
      <c r="E247" s="13">
        <f t="shared" si="48"/>
        <v>0</v>
      </c>
      <c r="F247" s="13">
        <f t="shared" si="49"/>
        <v>0</v>
      </c>
      <c r="G247" s="13">
        <f t="shared" si="50"/>
        <v>0</v>
      </c>
      <c r="I247" s="120">
        <f t="shared" si="42"/>
        <v>0</v>
      </c>
      <c r="J247" s="120">
        <f t="shared" si="43"/>
        <v>0</v>
      </c>
      <c r="L247" s="13">
        <f t="shared" si="44"/>
        <v>0</v>
      </c>
      <c r="M247" s="13">
        <f t="shared" si="45"/>
        <v>0</v>
      </c>
    </row>
    <row r="248" spans="2:19" x14ac:dyDescent="0.2">
      <c r="B248" s="2">
        <v>238</v>
      </c>
      <c r="C248" s="13">
        <f t="shared" si="46"/>
        <v>0</v>
      </c>
      <c r="D248" s="119">
        <f t="shared" si="47"/>
        <v>0</v>
      </c>
      <c r="E248" s="13">
        <f t="shared" si="48"/>
        <v>0</v>
      </c>
      <c r="F248" s="13">
        <f t="shared" si="49"/>
        <v>0</v>
      </c>
      <c r="G248" s="13">
        <f t="shared" si="50"/>
        <v>0</v>
      </c>
      <c r="I248" s="120">
        <f t="shared" si="42"/>
        <v>0</v>
      </c>
      <c r="J248" s="120">
        <f t="shared" si="43"/>
        <v>0</v>
      </c>
      <c r="L248" s="13">
        <f t="shared" si="44"/>
        <v>0</v>
      </c>
      <c r="M248" s="13">
        <f t="shared" si="45"/>
        <v>0</v>
      </c>
    </row>
    <row r="249" spans="2:19" x14ac:dyDescent="0.2">
      <c r="B249" s="2">
        <v>239</v>
      </c>
      <c r="C249" s="13">
        <f t="shared" si="46"/>
        <v>0</v>
      </c>
      <c r="D249" s="119">
        <f t="shared" si="47"/>
        <v>0</v>
      </c>
      <c r="E249" s="13">
        <f t="shared" si="48"/>
        <v>0</v>
      </c>
      <c r="F249" s="13">
        <f t="shared" si="49"/>
        <v>0</v>
      </c>
      <c r="G249" s="13">
        <f t="shared" si="50"/>
        <v>0</v>
      </c>
      <c r="I249" s="120">
        <f t="shared" si="42"/>
        <v>0</v>
      </c>
      <c r="J249" s="120">
        <f t="shared" si="43"/>
        <v>0</v>
      </c>
      <c r="L249" s="13">
        <f t="shared" si="44"/>
        <v>0</v>
      </c>
      <c r="M249" s="13">
        <f t="shared" si="45"/>
        <v>0</v>
      </c>
    </row>
    <row r="250" spans="2:19" x14ac:dyDescent="0.2">
      <c r="B250" s="2">
        <v>240</v>
      </c>
      <c r="C250" s="13">
        <f t="shared" si="46"/>
        <v>0</v>
      </c>
      <c r="D250" s="119">
        <f t="shared" si="47"/>
        <v>0</v>
      </c>
      <c r="E250" s="13">
        <f>IF(B250&gt;$D$6*12,0,D250*C250)</f>
        <v>0</v>
      </c>
      <c r="F250" s="13">
        <f t="shared" si="49"/>
        <v>0</v>
      </c>
      <c r="G250" s="148">
        <f>IF(B250&gt;$D$6*12,0,C250+E250+F250)</f>
        <v>0</v>
      </c>
      <c r="I250" s="120">
        <f t="shared" si="42"/>
        <v>0</v>
      </c>
      <c r="J250" s="120">
        <f t="shared" si="43"/>
        <v>0</v>
      </c>
      <c r="L250" s="13">
        <f t="shared" si="44"/>
        <v>0</v>
      </c>
      <c r="M250" s="13">
        <f t="shared" si="45"/>
        <v>0</v>
      </c>
      <c r="R250" s="129">
        <f t="shared" ref="R250:S250" si="54">SUM(L239:L250)</f>
        <v>0</v>
      </c>
      <c r="S250" s="129">
        <f t="shared" si="54"/>
        <v>0</v>
      </c>
    </row>
    <row r="251" spans="2:19" x14ac:dyDescent="0.2">
      <c r="B251" s="2">
        <v>241</v>
      </c>
      <c r="C251" s="13">
        <f t="shared" si="46"/>
        <v>0</v>
      </c>
      <c r="D251" s="119">
        <f t="shared" si="47"/>
        <v>0</v>
      </c>
      <c r="E251" s="13">
        <f t="shared" si="48"/>
        <v>0</v>
      </c>
      <c r="F251" s="13">
        <f t="shared" si="49"/>
        <v>0</v>
      </c>
      <c r="G251" s="13">
        <f t="shared" si="50"/>
        <v>0</v>
      </c>
      <c r="I251" s="120">
        <f t="shared" si="42"/>
        <v>0</v>
      </c>
      <c r="J251" s="120">
        <f t="shared" si="43"/>
        <v>0</v>
      </c>
      <c r="L251" s="13">
        <f t="shared" si="44"/>
        <v>0</v>
      </c>
      <c r="M251" s="13">
        <f t="shared" si="45"/>
        <v>0</v>
      </c>
    </row>
    <row r="252" spans="2:19" x14ac:dyDescent="0.2">
      <c r="B252" s="2">
        <v>242</v>
      </c>
      <c r="C252" s="13">
        <f t="shared" si="46"/>
        <v>0</v>
      </c>
      <c r="D252" s="119">
        <f t="shared" si="47"/>
        <v>0</v>
      </c>
      <c r="E252" s="13">
        <f t="shared" si="48"/>
        <v>0</v>
      </c>
      <c r="F252" s="13">
        <f t="shared" si="49"/>
        <v>0</v>
      </c>
      <c r="G252" s="13">
        <f t="shared" si="50"/>
        <v>0</v>
      </c>
      <c r="I252" s="120">
        <f t="shared" si="42"/>
        <v>0</v>
      </c>
      <c r="J252" s="120">
        <f t="shared" si="43"/>
        <v>0</v>
      </c>
      <c r="L252" s="13">
        <f t="shared" si="44"/>
        <v>0</v>
      </c>
      <c r="M252" s="13">
        <f t="shared" si="45"/>
        <v>0</v>
      </c>
    </row>
    <row r="253" spans="2:19" x14ac:dyDescent="0.2">
      <c r="B253" s="2">
        <v>243</v>
      </c>
      <c r="C253" s="13">
        <f t="shared" si="46"/>
        <v>0</v>
      </c>
      <c r="D253" s="119">
        <f t="shared" si="47"/>
        <v>0</v>
      </c>
      <c r="E253" s="13">
        <f t="shared" si="48"/>
        <v>0</v>
      </c>
      <c r="F253" s="13">
        <f t="shared" si="49"/>
        <v>0</v>
      </c>
      <c r="G253" s="13">
        <f t="shared" si="50"/>
        <v>0</v>
      </c>
      <c r="I253" s="120">
        <f t="shared" si="42"/>
        <v>0</v>
      </c>
      <c r="J253" s="120">
        <f t="shared" si="43"/>
        <v>0</v>
      </c>
      <c r="L253" s="13">
        <f t="shared" si="44"/>
        <v>0</v>
      </c>
      <c r="M253" s="13">
        <f t="shared" si="45"/>
        <v>0</v>
      </c>
    </row>
    <row r="254" spans="2:19" x14ac:dyDescent="0.2">
      <c r="B254" s="2">
        <v>244</v>
      </c>
      <c r="C254" s="13">
        <f t="shared" si="46"/>
        <v>0</v>
      </c>
      <c r="D254" s="119">
        <f t="shared" si="47"/>
        <v>0</v>
      </c>
      <c r="E254" s="13">
        <f t="shared" si="48"/>
        <v>0</v>
      </c>
      <c r="F254" s="13">
        <f t="shared" si="49"/>
        <v>0</v>
      </c>
      <c r="G254" s="13">
        <f t="shared" si="50"/>
        <v>0</v>
      </c>
      <c r="I254" s="120">
        <f t="shared" si="42"/>
        <v>0</v>
      </c>
      <c r="J254" s="120">
        <f t="shared" si="43"/>
        <v>0</v>
      </c>
      <c r="L254" s="13">
        <f t="shared" si="44"/>
        <v>0</v>
      </c>
      <c r="M254" s="13">
        <f t="shared" si="45"/>
        <v>0</v>
      </c>
    </row>
    <row r="255" spans="2:19" x14ac:dyDescent="0.2">
      <c r="B255" s="2">
        <v>245</v>
      </c>
      <c r="C255" s="13">
        <f t="shared" si="46"/>
        <v>0</v>
      </c>
      <c r="D255" s="119">
        <f t="shared" si="47"/>
        <v>0</v>
      </c>
      <c r="E255" s="13">
        <f t="shared" si="48"/>
        <v>0</v>
      </c>
      <c r="F255" s="13">
        <f t="shared" si="49"/>
        <v>0</v>
      </c>
      <c r="G255" s="13">
        <f t="shared" si="50"/>
        <v>0</v>
      </c>
      <c r="I255" s="120">
        <f t="shared" si="42"/>
        <v>0</v>
      </c>
      <c r="J255" s="120">
        <f t="shared" si="43"/>
        <v>0</v>
      </c>
      <c r="L255" s="13">
        <f t="shared" si="44"/>
        <v>0</v>
      </c>
      <c r="M255" s="13">
        <f t="shared" si="45"/>
        <v>0</v>
      </c>
    </row>
    <row r="256" spans="2:19" x14ac:dyDescent="0.2">
      <c r="B256" s="2">
        <v>246</v>
      </c>
      <c r="C256" s="13">
        <f t="shared" si="46"/>
        <v>0</v>
      </c>
      <c r="D256" s="119">
        <f t="shared" si="47"/>
        <v>0</v>
      </c>
      <c r="E256" s="13">
        <f t="shared" si="48"/>
        <v>0</v>
      </c>
      <c r="F256" s="13">
        <f t="shared" si="49"/>
        <v>0</v>
      </c>
      <c r="G256" s="13">
        <f t="shared" si="50"/>
        <v>0</v>
      </c>
      <c r="I256" s="120">
        <f t="shared" si="42"/>
        <v>0</v>
      </c>
      <c r="J256" s="120">
        <f t="shared" si="43"/>
        <v>0</v>
      </c>
      <c r="L256" s="13">
        <f t="shared" si="44"/>
        <v>0</v>
      </c>
      <c r="M256" s="13">
        <f t="shared" si="45"/>
        <v>0</v>
      </c>
    </row>
    <row r="257" spans="2:19" x14ac:dyDescent="0.2">
      <c r="B257" s="2">
        <v>247</v>
      </c>
      <c r="C257" s="13">
        <f t="shared" si="46"/>
        <v>0</v>
      </c>
      <c r="D257" s="119">
        <f t="shared" si="47"/>
        <v>0</v>
      </c>
      <c r="E257" s="13">
        <f t="shared" si="48"/>
        <v>0</v>
      </c>
      <c r="F257" s="13">
        <f t="shared" si="49"/>
        <v>0</v>
      </c>
      <c r="G257" s="13">
        <f t="shared" si="50"/>
        <v>0</v>
      </c>
      <c r="I257" s="120">
        <f t="shared" si="42"/>
        <v>0</v>
      </c>
      <c r="J257" s="120">
        <f t="shared" si="43"/>
        <v>0</v>
      </c>
      <c r="L257" s="13">
        <f t="shared" si="44"/>
        <v>0</v>
      </c>
      <c r="M257" s="13">
        <f t="shared" si="45"/>
        <v>0</v>
      </c>
    </row>
    <row r="258" spans="2:19" x14ac:dyDescent="0.2">
      <c r="B258" s="2">
        <v>248</v>
      </c>
      <c r="C258" s="13">
        <f t="shared" si="46"/>
        <v>0</v>
      </c>
      <c r="D258" s="119">
        <f t="shared" si="47"/>
        <v>0</v>
      </c>
      <c r="E258" s="13">
        <f t="shared" si="48"/>
        <v>0</v>
      </c>
      <c r="F258" s="13">
        <f t="shared" si="49"/>
        <v>0</v>
      </c>
      <c r="G258" s="13">
        <f t="shared" si="50"/>
        <v>0</v>
      </c>
      <c r="I258" s="120">
        <f t="shared" si="42"/>
        <v>0</v>
      </c>
      <c r="J258" s="120">
        <f t="shared" si="43"/>
        <v>0</v>
      </c>
      <c r="L258" s="13">
        <f t="shared" si="44"/>
        <v>0</v>
      </c>
      <c r="M258" s="13">
        <f t="shared" si="45"/>
        <v>0</v>
      </c>
    </row>
    <row r="259" spans="2:19" x14ac:dyDescent="0.2">
      <c r="B259" s="2">
        <v>249</v>
      </c>
      <c r="C259" s="13">
        <f t="shared" si="46"/>
        <v>0</v>
      </c>
      <c r="D259" s="119">
        <f t="shared" si="47"/>
        <v>0</v>
      </c>
      <c r="E259" s="13">
        <f t="shared" si="48"/>
        <v>0</v>
      </c>
      <c r="F259" s="13">
        <f t="shared" si="49"/>
        <v>0</v>
      </c>
      <c r="G259" s="13">
        <f t="shared" si="50"/>
        <v>0</v>
      </c>
      <c r="I259" s="120">
        <f t="shared" si="42"/>
        <v>0</v>
      </c>
      <c r="J259" s="120">
        <f t="shared" si="43"/>
        <v>0</v>
      </c>
      <c r="L259" s="13">
        <f t="shared" si="44"/>
        <v>0</v>
      </c>
      <c r="M259" s="13">
        <f t="shared" si="45"/>
        <v>0</v>
      </c>
    </row>
    <row r="260" spans="2:19" x14ac:dyDescent="0.2">
      <c r="B260" s="2">
        <v>250</v>
      </c>
      <c r="C260" s="13">
        <f t="shared" si="46"/>
        <v>0</v>
      </c>
      <c r="D260" s="119">
        <f t="shared" si="47"/>
        <v>0</v>
      </c>
      <c r="E260" s="13">
        <f t="shared" si="48"/>
        <v>0</v>
      </c>
      <c r="F260" s="13">
        <f t="shared" si="49"/>
        <v>0</v>
      </c>
      <c r="G260" s="13">
        <f t="shared" si="50"/>
        <v>0</v>
      </c>
      <c r="I260" s="120">
        <f t="shared" si="42"/>
        <v>0</v>
      </c>
      <c r="J260" s="120">
        <f t="shared" si="43"/>
        <v>0</v>
      </c>
      <c r="L260" s="13">
        <f t="shared" si="44"/>
        <v>0</v>
      </c>
      <c r="M260" s="13">
        <f t="shared" si="45"/>
        <v>0</v>
      </c>
    </row>
    <row r="261" spans="2:19" x14ac:dyDescent="0.2">
      <c r="B261" s="2">
        <v>251</v>
      </c>
      <c r="C261" s="13">
        <f t="shared" si="46"/>
        <v>0</v>
      </c>
      <c r="D261" s="119">
        <f t="shared" si="47"/>
        <v>0</v>
      </c>
      <c r="E261" s="13">
        <f t="shared" si="48"/>
        <v>0</v>
      </c>
      <c r="F261" s="13">
        <f t="shared" si="49"/>
        <v>0</v>
      </c>
      <c r="G261" s="13">
        <f t="shared" si="50"/>
        <v>0</v>
      </c>
      <c r="I261" s="120">
        <f t="shared" si="42"/>
        <v>0</v>
      </c>
      <c r="J261" s="120">
        <f t="shared" si="43"/>
        <v>0</v>
      </c>
      <c r="L261" s="13">
        <f t="shared" si="44"/>
        <v>0</v>
      </c>
      <c r="M261" s="13">
        <f t="shared" si="45"/>
        <v>0</v>
      </c>
    </row>
    <row r="262" spans="2:19" x14ac:dyDescent="0.2">
      <c r="B262" s="2">
        <v>252</v>
      </c>
      <c r="C262" s="13">
        <f t="shared" si="46"/>
        <v>0</v>
      </c>
      <c r="D262" s="119">
        <f t="shared" si="47"/>
        <v>0</v>
      </c>
      <c r="E262" s="13">
        <f t="shared" si="48"/>
        <v>0</v>
      </c>
      <c r="F262" s="13">
        <f t="shared" si="49"/>
        <v>0</v>
      </c>
      <c r="G262" s="13">
        <f t="shared" si="50"/>
        <v>0</v>
      </c>
      <c r="I262" s="120">
        <f t="shared" si="42"/>
        <v>0</v>
      </c>
      <c r="J262" s="120">
        <f t="shared" si="43"/>
        <v>0</v>
      </c>
      <c r="L262" s="13">
        <f t="shared" si="44"/>
        <v>0</v>
      </c>
      <c r="M262" s="13">
        <f t="shared" si="45"/>
        <v>0</v>
      </c>
      <c r="R262" s="129">
        <f t="shared" ref="R262:S262" si="55">SUM(L251:L262)</f>
        <v>0</v>
      </c>
      <c r="S262" s="129">
        <f t="shared" si="55"/>
        <v>0</v>
      </c>
    </row>
    <row r="263" spans="2:19" x14ac:dyDescent="0.2">
      <c r="B263" s="2">
        <v>253</v>
      </c>
      <c r="C263" s="13">
        <f t="shared" si="46"/>
        <v>0</v>
      </c>
      <c r="D263" s="119">
        <f t="shared" si="47"/>
        <v>0</v>
      </c>
      <c r="E263" s="13">
        <f t="shared" si="48"/>
        <v>0</v>
      </c>
      <c r="F263" s="13">
        <f t="shared" si="49"/>
        <v>0</v>
      </c>
      <c r="G263" s="13">
        <f t="shared" si="50"/>
        <v>0</v>
      </c>
      <c r="I263" s="120">
        <f t="shared" si="42"/>
        <v>0</v>
      </c>
      <c r="J263" s="120">
        <f t="shared" si="43"/>
        <v>0</v>
      </c>
      <c r="L263" s="13">
        <f t="shared" si="44"/>
        <v>0</v>
      </c>
      <c r="M263" s="13">
        <f t="shared" si="45"/>
        <v>0</v>
      </c>
    </row>
    <row r="264" spans="2:19" x14ac:dyDescent="0.2">
      <c r="B264" s="2">
        <v>254</v>
      </c>
      <c r="C264" s="13">
        <f t="shared" si="46"/>
        <v>0</v>
      </c>
      <c r="D264" s="119">
        <f t="shared" si="47"/>
        <v>0</v>
      </c>
      <c r="E264" s="13">
        <f t="shared" si="48"/>
        <v>0</v>
      </c>
      <c r="F264" s="13">
        <f t="shared" si="49"/>
        <v>0</v>
      </c>
      <c r="G264" s="13">
        <f t="shared" si="50"/>
        <v>0</v>
      </c>
      <c r="I264" s="120">
        <f t="shared" si="42"/>
        <v>0</v>
      </c>
      <c r="J264" s="120">
        <f t="shared" si="43"/>
        <v>0</v>
      </c>
      <c r="L264" s="13">
        <f t="shared" si="44"/>
        <v>0</v>
      </c>
      <c r="M264" s="13">
        <f t="shared" si="45"/>
        <v>0</v>
      </c>
    </row>
    <row r="265" spans="2:19" x14ac:dyDescent="0.2">
      <c r="B265" s="2">
        <v>255</v>
      </c>
      <c r="C265" s="13">
        <f t="shared" si="46"/>
        <v>0</v>
      </c>
      <c r="D265" s="119">
        <f t="shared" si="47"/>
        <v>0</v>
      </c>
      <c r="E265" s="13">
        <f t="shared" si="48"/>
        <v>0</v>
      </c>
      <c r="F265" s="13">
        <f t="shared" si="49"/>
        <v>0</v>
      </c>
      <c r="G265" s="13">
        <f t="shared" si="50"/>
        <v>0</v>
      </c>
      <c r="I265" s="120">
        <f t="shared" si="42"/>
        <v>0</v>
      </c>
      <c r="J265" s="120">
        <f t="shared" si="43"/>
        <v>0</v>
      </c>
      <c r="L265" s="13">
        <f t="shared" si="44"/>
        <v>0</v>
      </c>
      <c r="M265" s="13">
        <f t="shared" si="45"/>
        <v>0</v>
      </c>
    </row>
    <row r="266" spans="2:19" x14ac:dyDescent="0.2">
      <c r="B266" s="2">
        <v>256</v>
      </c>
      <c r="C266" s="13">
        <f t="shared" si="46"/>
        <v>0</v>
      </c>
      <c r="D266" s="119">
        <f t="shared" si="47"/>
        <v>0</v>
      </c>
      <c r="E266" s="13">
        <f t="shared" si="48"/>
        <v>0</v>
      </c>
      <c r="F266" s="13">
        <f t="shared" si="49"/>
        <v>0</v>
      </c>
      <c r="G266" s="13">
        <f t="shared" si="50"/>
        <v>0</v>
      </c>
      <c r="I266" s="120">
        <f t="shared" si="42"/>
        <v>0</v>
      </c>
      <c r="J266" s="120">
        <f t="shared" si="43"/>
        <v>0</v>
      </c>
      <c r="L266" s="13">
        <f t="shared" si="44"/>
        <v>0</v>
      </c>
      <c r="M266" s="13">
        <f t="shared" si="45"/>
        <v>0</v>
      </c>
    </row>
    <row r="267" spans="2:19" x14ac:dyDescent="0.2">
      <c r="B267" s="2">
        <v>257</v>
      </c>
      <c r="C267" s="13">
        <f t="shared" si="46"/>
        <v>0</v>
      </c>
      <c r="D267" s="119">
        <f t="shared" si="47"/>
        <v>0</v>
      </c>
      <c r="E267" s="13">
        <f t="shared" si="48"/>
        <v>0</v>
      </c>
      <c r="F267" s="13">
        <f t="shared" si="49"/>
        <v>0</v>
      </c>
      <c r="G267" s="13">
        <f t="shared" si="50"/>
        <v>0</v>
      </c>
      <c r="I267" s="120">
        <f t="shared" si="42"/>
        <v>0</v>
      </c>
      <c r="J267" s="120">
        <f t="shared" si="43"/>
        <v>0</v>
      </c>
      <c r="L267" s="13">
        <f t="shared" si="44"/>
        <v>0</v>
      </c>
      <c r="M267" s="13">
        <f t="shared" si="45"/>
        <v>0</v>
      </c>
    </row>
    <row r="268" spans="2:19" x14ac:dyDescent="0.2">
      <c r="B268" s="2">
        <v>258</v>
      </c>
      <c r="C268" s="13">
        <f t="shared" si="46"/>
        <v>0</v>
      </c>
      <c r="D268" s="119">
        <f t="shared" si="47"/>
        <v>0</v>
      </c>
      <c r="E268" s="13">
        <f t="shared" si="48"/>
        <v>0</v>
      </c>
      <c r="F268" s="13">
        <f t="shared" si="49"/>
        <v>0</v>
      </c>
      <c r="G268" s="13">
        <f t="shared" si="50"/>
        <v>0</v>
      </c>
      <c r="I268" s="120">
        <f t="shared" ref="I268:I331" si="56">IF(B268&gt;$D$6*12,0,L268/(L268+M268))</f>
        <v>0</v>
      </c>
      <c r="J268" s="120">
        <f t="shared" ref="J268:J331" si="57">IF(B268&gt;$D$6*12,0,M268/(L268+M268))</f>
        <v>0</v>
      </c>
      <c r="L268" s="13">
        <f t="shared" ref="L268:L331" si="58">IF(B268&gt;$D$6*12,0,F268+E268)</f>
        <v>0</v>
      </c>
      <c r="M268" s="13">
        <f t="shared" ref="M268:M331" si="59">IF(B268&gt;$D$6*12,0,-E268)</f>
        <v>0</v>
      </c>
    </row>
    <row r="269" spans="2:19" x14ac:dyDescent="0.2">
      <c r="B269" s="2">
        <v>259</v>
      </c>
      <c r="C269" s="13">
        <f t="shared" ref="C269:C332" si="60">IF(B269&gt;$D$6*12,0,G268)</f>
        <v>0</v>
      </c>
      <c r="D269" s="119">
        <f t="shared" ref="D269:D332" si="61">IF(B269&gt;$D$6*12,0,D268)</f>
        <v>0</v>
      </c>
      <c r="E269" s="13">
        <f t="shared" ref="E269:E332" si="62">IF(B269&gt;$D$6*12,0,D269*C269)</f>
        <v>0</v>
      </c>
      <c r="F269" s="13">
        <f t="shared" ref="F269:F332" si="63">IF(B269&gt;$D$6*12,0,F268)</f>
        <v>0</v>
      </c>
      <c r="G269" s="13">
        <f t="shared" ref="G269:G332" si="64">IF(B269&gt;$D$6*12,0,C269+E269+F269)</f>
        <v>0</v>
      </c>
      <c r="I269" s="120">
        <f t="shared" si="56"/>
        <v>0</v>
      </c>
      <c r="J269" s="120">
        <f t="shared" si="57"/>
        <v>0</v>
      </c>
      <c r="L269" s="13">
        <f t="shared" si="58"/>
        <v>0</v>
      </c>
      <c r="M269" s="13">
        <f t="shared" si="59"/>
        <v>0</v>
      </c>
    </row>
    <row r="270" spans="2:19" x14ac:dyDescent="0.2">
      <c r="B270" s="2">
        <v>260</v>
      </c>
      <c r="C270" s="13">
        <f t="shared" si="60"/>
        <v>0</v>
      </c>
      <c r="D270" s="119">
        <f t="shared" si="61"/>
        <v>0</v>
      </c>
      <c r="E270" s="13">
        <f t="shared" si="62"/>
        <v>0</v>
      </c>
      <c r="F270" s="13">
        <f t="shared" si="63"/>
        <v>0</v>
      </c>
      <c r="G270" s="13">
        <f t="shared" si="64"/>
        <v>0</v>
      </c>
      <c r="I270" s="120">
        <f t="shared" si="56"/>
        <v>0</v>
      </c>
      <c r="J270" s="120">
        <f t="shared" si="57"/>
        <v>0</v>
      </c>
      <c r="L270" s="13">
        <f t="shared" si="58"/>
        <v>0</v>
      </c>
      <c r="M270" s="13">
        <f t="shared" si="59"/>
        <v>0</v>
      </c>
    </row>
    <row r="271" spans="2:19" x14ac:dyDescent="0.2">
      <c r="B271" s="2">
        <v>261</v>
      </c>
      <c r="C271" s="13">
        <f t="shared" si="60"/>
        <v>0</v>
      </c>
      <c r="D271" s="119">
        <f t="shared" si="61"/>
        <v>0</v>
      </c>
      <c r="E271" s="13">
        <f t="shared" si="62"/>
        <v>0</v>
      </c>
      <c r="F271" s="13">
        <f t="shared" si="63"/>
        <v>0</v>
      </c>
      <c r="G271" s="13">
        <f t="shared" si="64"/>
        <v>0</v>
      </c>
      <c r="I271" s="120">
        <f t="shared" si="56"/>
        <v>0</v>
      </c>
      <c r="J271" s="120">
        <f t="shared" si="57"/>
        <v>0</v>
      </c>
      <c r="L271" s="13">
        <f t="shared" si="58"/>
        <v>0</v>
      </c>
      <c r="M271" s="13">
        <f t="shared" si="59"/>
        <v>0</v>
      </c>
    </row>
    <row r="272" spans="2:19" x14ac:dyDescent="0.2">
      <c r="B272" s="2">
        <v>262</v>
      </c>
      <c r="C272" s="13">
        <f t="shared" si="60"/>
        <v>0</v>
      </c>
      <c r="D272" s="119">
        <f t="shared" si="61"/>
        <v>0</v>
      </c>
      <c r="E272" s="13">
        <f t="shared" si="62"/>
        <v>0</v>
      </c>
      <c r="F272" s="13">
        <f t="shared" si="63"/>
        <v>0</v>
      </c>
      <c r="G272" s="13">
        <f t="shared" si="64"/>
        <v>0</v>
      </c>
      <c r="I272" s="120">
        <f t="shared" si="56"/>
        <v>0</v>
      </c>
      <c r="J272" s="120">
        <f t="shared" si="57"/>
        <v>0</v>
      </c>
      <c r="L272" s="13">
        <f t="shared" si="58"/>
        <v>0</v>
      </c>
      <c r="M272" s="13">
        <f t="shared" si="59"/>
        <v>0</v>
      </c>
    </row>
    <row r="273" spans="2:19" x14ac:dyDescent="0.2">
      <c r="B273" s="2">
        <v>263</v>
      </c>
      <c r="C273" s="13">
        <f t="shared" si="60"/>
        <v>0</v>
      </c>
      <c r="D273" s="119">
        <f t="shared" si="61"/>
        <v>0</v>
      </c>
      <c r="E273" s="13">
        <f t="shared" si="62"/>
        <v>0</v>
      </c>
      <c r="F273" s="13">
        <f t="shared" si="63"/>
        <v>0</v>
      </c>
      <c r="G273" s="13">
        <f t="shared" si="64"/>
        <v>0</v>
      </c>
      <c r="I273" s="120">
        <f t="shared" si="56"/>
        <v>0</v>
      </c>
      <c r="J273" s="120">
        <f t="shared" si="57"/>
        <v>0</v>
      </c>
      <c r="L273" s="13">
        <f t="shared" si="58"/>
        <v>0</v>
      </c>
      <c r="M273" s="13">
        <f t="shared" si="59"/>
        <v>0</v>
      </c>
    </row>
    <row r="274" spans="2:19" x14ac:dyDescent="0.2">
      <c r="B274" s="2">
        <v>264</v>
      </c>
      <c r="C274" s="13">
        <f t="shared" si="60"/>
        <v>0</v>
      </c>
      <c r="D274" s="119">
        <f t="shared" si="61"/>
        <v>0</v>
      </c>
      <c r="E274" s="13">
        <f t="shared" si="62"/>
        <v>0</v>
      </c>
      <c r="F274" s="13">
        <f t="shared" si="63"/>
        <v>0</v>
      </c>
      <c r="G274" s="13">
        <f t="shared" si="64"/>
        <v>0</v>
      </c>
      <c r="I274" s="120">
        <f t="shared" si="56"/>
        <v>0</v>
      </c>
      <c r="J274" s="120">
        <f t="shared" si="57"/>
        <v>0</v>
      </c>
      <c r="L274" s="13">
        <f t="shared" si="58"/>
        <v>0</v>
      </c>
      <c r="M274" s="13">
        <f t="shared" si="59"/>
        <v>0</v>
      </c>
      <c r="R274" s="129">
        <f t="shared" ref="R274:S274" si="65">SUM(L263:L274)</f>
        <v>0</v>
      </c>
      <c r="S274" s="129">
        <f t="shared" si="65"/>
        <v>0</v>
      </c>
    </row>
    <row r="275" spans="2:19" x14ac:dyDescent="0.2">
      <c r="B275" s="2">
        <v>265</v>
      </c>
      <c r="C275" s="13">
        <f t="shared" si="60"/>
        <v>0</v>
      </c>
      <c r="D275" s="119">
        <f t="shared" si="61"/>
        <v>0</v>
      </c>
      <c r="E275" s="13">
        <f t="shared" si="62"/>
        <v>0</v>
      </c>
      <c r="F275" s="13">
        <f t="shared" si="63"/>
        <v>0</v>
      </c>
      <c r="G275" s="13">
        <f t="shared" si="64"/>
        <v>0</v>
      </c>
      <c r="I275" s="120">
        <f t="shared" si="56"/>
        <v>0</v>
      </c>
      <c r="J275" s="120">
        <f t="shared" si="57"/>
        <v>0</v>
      </c>
      <c r="L275" s="13">
        <f t="shared" si="58"/>
        <v>0</v>
      </c>
      <c r="M275" s="13">
        <f t="shared" si="59"/>
        <v>0</v>
      </c>
    </row>
    <row r="276" spans="2:19" x14ac:dyDescent="0.2">
      <c r="B276" s="2">
        <v>266</v>
      </c>
      <c r="C276" s="13">
        <f t="shared" si="60"/>
        <v>0</v>
      </c>
      <c r="D276" s="119">
        <f t="shared" si="61"/>
        <v>0</v>
      </c>
      <c r="E276" s="13">
        <f t="shared" si="62"/>
        <v>0</v>
      </c>
      <c r="F276" s="13">
        <f t="shared" si="63"/>
        <v>0</v>
      </c>
      <c r="G276" s="13">
        <f t="shared" si="64"/>
        <v>0</v>
      </c>
      <c r="I276" s="120">
        <f t="shared" si="56"/>
        <v>0</v>
      </c>
      <c r="J276" s="120">
        <f t="shared" si="57"/>
        <v>0</v>
      </c>
      <c r="L276" s="13">
        <f t="shared" si="58"/>
        <v>0</v>
      </c>
      <c r="M276" s="13">
        <f t="shared" si="59"/>
        <v>0</v>
      </c>
    </row>
    <row r="277" spans="2:19" x14ac:dyDescent="0.2">
      <c r="B277" s="2">
        <v>267</v>
      </c>
      <c r="C277" s="13">
        <f t="shared" si="60"/>
        <v>0</v>
      </c>
      <c r="D277" s="119">
        <f t="shared" si="61"/>
        <v>0</v>
      </c>
      <c r="E277" s="13">
        <f t="shared" si="62"/>
        <v>0</v>
      </c>
      <c r="F277" s="13">
        <f t="shared" si="63"/>
        <v>0</v>
      </c>
      <c r="G277" s="13">
        <f t="shared" si="64"/>
        <v>0</v>
      </c>
      <c r="I277" s="120">
        <f t="shared" si="56"/>
        <v>0</v>
      </c>
      <c r="J277" s="120">
        <f t="shared" si="57"/>
        <v>0</v>
      </c>
      <c r="L277" s="13">
        <f t="shared" si="58"/>
        <v>0</v>
      </c>
      <c r="M277" s="13">
        <f t="shared" si="59"/>
        <v>0</v>
      </c>
    </row>
    <row r="278" spans="2:19" x14ac:dyDescent="0.2">
      <c r="B278" s="2">
        <v>268</v>
      </c>
      <c r="C278" s="13">
        <f t="shared" si="60"/>
        <v>0</v>
      </c>
      <c r="D278" s="119">
        <f t="shared" si="61"/>
        <v>0</v>
      </c>
      <c r="E278" s="13">
        <f t="shared" si="62"/>
        <v>0</v>
      </c>
      <c r="F278" s="13">
        <f t="shared" si="63"/>
        <v>0</v>
      </c>
      <c r="G278" s="13">
        <f t="shared" si="64"/>
        <v>0</v>
      </c>
      <c r="I278" s="120">
        <f t="shared" si="56"/>
        <v>0</v>
      </c>
      <c r="J278" s="120">
        <f t="shared" si="57"/>
        <v>0</v>
      </c>
      <c r="L278" s="13">
        <f t="shared" si="58"/>
        <v>0</v>
      </c>
      <c r="M278" s="13">
        <f t="shared" si="59"/>
        <v>0</v>
      </c>
    </row>
    <row r="279" spans="2:19" x14ac:dyDescent="0.2">
      <c r="B279" s="2">
        <v>269</v>
      </c>
      <c r="C279" s="13">
        <f t="shared" si="60"/>
        <v>0</v>
      </c>
      <c r="D279" s="119">
        <f t="shared" si="61"/>
        <v>0</v>
      </c>
      <c r="E279" s="13">
        <f t="shared" si="62"/>
        <v>0</v>
      </c>
      <c r="F279" s="13">
        <f t="shared" si="63"/>
        <v>0</v>
      </c>
      <c r="G279" s="13">
        <f t="shared" si="64"/>
        <v>0</v>
      </c>
      <c r="I279" s="120">
        <f t="shared" si="56"/>
        <v>0</v>
      </c>
      <c r="J279" s="120">
        <f t="shared" si="57"/>
        <v>0</v>
      </c>
      <c r="L279" s="13">
        <f t="shared" si="58"/>
        <v>0</v>
      </c>
      <c r="M279" s="13">
        <f t="shared" si="59"/>
        <v>0</v>
      </c>
    </row>
    <row r="280" spans="2:19" x14ac:dyDescent="0.2">
      <c r="B280" s="2">
        <v>270</v>
      </c>
      <c r="C280" s="13">
        <f t="shared" si="60"/>
        <v>0</v>
      </c>
      <c r="D280" s="119">
        <f t="shared" si="61"/>
        <v>0</v>
      </c>
      <c r="E280" s="13">
        <f t="shared" si="62"/>
        <v>0</v>
      </c>
      <c r="F280" s="13">
        <f t="shared" si="63"/>
        <v>0</v>
      </c>
      <c r="G280" s="13">
        <f t="shared" si="64"/>
        <v>0</v>
      </c>
      <c r="I280" s="120">
        <f t="shared" si="56"/>
        <v>0</v>
      </c>
      <c r="J280" s="120">
        <f t="shared" si="57"/>
        <v>0</v>
      </c>
      <c r="L280" s="13">
        <f t="shared" si="58"/>
        <v>0</v>
      </c>
      <c r="M280" s="13">
        <f t="shared" si="59"/>
        <v>0</v>
      </c>
    </row>
    <row r="281" spans="2:19" x14ac:dyDescent="0.2">
      <c r="B281" s="2">
        <v>271</v>
      </c>
      <c r="C281" s="13">
        <f t="shared" si="60"/>
        <v>0</v>
      </c>
      <c r="D281" s="119">
        <f t="shared" si="61"/>
        <v>0</v>
      </c>
      <c r="E281" s="13">
        <f t="shared" si="62"/>
        <v>0</v>
      </c>
      <c r="F281" s="13">
        <f t="shared" si="63"/>
        <v>0</v>
      </c>
      <c r="G281" s="13">
        <f t="shared" si="64"/>
        <v>0</v>
      </c>
      <c r="I281" s="120">
        <f t="shared" si="56"/>
        <v>0</v>
      </c>
      <c r="J281" s="120">
        <f t="shared" si="57"/>
        <v>0</v>
      </c>
      <c r="L281" s="13">
        <f t="shared" si="58"/>
        <v>0</v>
      </c>
      <c r="M281" s="13">
        <f t="shared" si="59"/>
        <v>0</v>
      </c>
    </row>
    <row r="282" spans="2:19" x14ac:dyDescent="0.2">
      <c r="B282" s="2">
        <v>272</v>
      </c>
      <c r="C282" s="13">
        <f t="shared" si="60"/>
        <v>0</v>
      </c>
      <c r="D282" s="119">
        <f t="shared" si="61"/>
        <v>0</v>
      </c>
      <c r="E282" s="13">
        <f t="shared" si="62"/>
        <v>0</v>
      </c>
      <c r="F282" s="13">
        <f t="shared" si="63"/>
        <v>0</v>
      </c>
      <c r="G282" s="13">
        <f t="shared" si="64"/>
        <v>0</v>
      </c>
      <c r="I282" s="120">
        <f t="shared" si="56"/>
        <v>0</v>
      </c>
      <c r="J282" s="120">
        <f t="shared" si="57"/>
        <v>0</v>
      </c>
      <c r="L282" s="13">
        <f t="shared" si="58"/>
        <v>0</v>
      </c>
      <c r="M282" s="13">
        <f t="shared" si="59"/>
        <v>0</v>
      </c>
    </row>
    <row r="283" spans="2:19" x14ac:dyDescent="0.2">
      <c r="B283" s="2">
        <v>273</v>
      </c>
      <c r="C283" s="13">
        <f t="shared" si="60"/>
        <v>0</v>
      </c>
      <c r="D283" s="119">
        <f t="shared" si="61"/>
        <v>0</v>
      </c>
      <c r="E283" s="13">
        <f t="shared" si="62"/>
        <v>0</v>
      </c>
      <c r="F283" s="13">
        <f t="shared" si="63"/>
        <v>0</v>
      </c>
      <c r="G283" s="13">
        <f t="shared" si="64"/>
        <v>0</v>
      </c>
      <c r="I283" s="120">
        <f t="shared" si="56"/>
        <v>0</v>
      </c>
      <c r="J283" s="120">
        <f t="shared" si="57"/>
        <v>0</v>
      </c>
      <c r="L283" s="13">
        <f t="shared" si="58"/>
        <v>0</v>
      </c>
      <c r="M283" s="13">
        <f t="shared" si="59"/>
        <v>0</v>
      </c>
    </row>
    <row r="284" spans="2:19" x14ac:dyDescent="0.2">
      <c r="B284" s="2">
        <v>274</v>
      </c>
      <c r="C284" s="13">
        <f t="shared" si="60"/>
        <v>0</v>
      </c>
      <c r="D284" s="119">
        <f t="shared" si="61"/>
        <v>0</v>
      </c>
      <c r="E284" s="13">
        <f t="shared" si="62"/>
        <v>0</v>
      </c>
      <c r="F284" s="13">
        <f t="shared" si="63"/>
        <v>0</v>
      </c>
      <c r="G284" s="13">
        <f t="shared" si="64"/>
        <v>0</v>
      </c>
      <c r="I284" s="120">
        <f t="shared" si="56"/>
        <v>0</v>
      </c>
      <c r="J284" s="120">
        <f t="shared" si="57"/>
        <v>0</v>
      </c>
      <c r="L284" s="13">
        <f t="shared" si="58"/>
        <v>0</v>
      </c>
      <c r="M284" s="13">
        <f t="shared" si="59"/>
        <v>0</v>
      </c>
    </row>
    <row r="285" spans="2:19" x14ac:dyDescent="0.2">
      <c r="B285" s="2">
        <v>275</v>
      </c>
      <c r="C285" s="13">
        <f t="shared" si="60"/>
        <v>0</v>
      </c>
      <c r="D285" s="119">
        <f t="shared" si="61"/>
        <v>0</v>
      </c>
      <c r="E285" s="13">
        <f t="shared" si="62"/>
        <v>0</v>
      </c>
      <c r="F285" s="13">
        <f t="shared" si="63"/>
        <v>0</v>
      </c>
      <c r="G285" s="13">
        <f t="shared" si="64"/>
        <v>0</v>
      </c>
      <c r="I285" s="120">
        <f t="shared" si="56"/>
        <v>0</v>
      </c>
      <c r="J285" s="120">
        <f t="shared" si="57"/>
        <v>0</v>
      </c>
      <c r="L285" s="13">
        <f t="shared" si="58"/>
        <v>0</v>
      </c>
      <c r="M285" s="13">
        <f t="shared" si="59"/>
        <v>0</v>
      </c>
    </row>
    <row r="286" spans="2:19" x14ac:dyDescent="0.2">
      <c r="B286" s="2">
        <v>276</v>
      </c>
      <c r="C286" s="13">
        <f t="shared" si="60"/>
        <v>0</v>
      </c>
      <c r="D286" s="119">
        <f t="shared" si="61"/>
        <v>0</v>
      </c>
      <c r="E286" s="13">
        <f t="shared" si="62"/>
        <v>0</v>
      </c>
      <c r="F286" s="13">
        <f t="shared" si="63"/>
        <v>0</v>
      </c>
      <c r="G286" s="13">
        <f t="shared" si="64"/>
        <v>0</v>
      </c>
      <c r="I286" s="120">
        <f t="shared" si="56"/>
        <v>0</v>
      </c>
      <c r="J286" s="120">
        <f t="shared" si="57"/>
        <v>0</v>
      </c>
      <c r="L286" s="13">
        <f t="shared" si="58"/>
        <v>0</v>
      </c>
      <c r="M286" s="13">
        <f t="shared" si="59"/>
        <v>0</v>
      </c>
      <c r="R286" s="129">
        <f t="shared" ref="R286:S286" si="66">SUM(L275:L286)</f>
        <v>0</v>
      </c>
      <c r="S286" s="129">
        <f t="shared" si="66"/>
        <v>0</v>
      </c>
    </row>
    <row r="287" spans="2:19" x14ac:dyDescent="0.2">
      <c r="B287" s="2">
        <v>277</v>
      </c>
      <c r="C287" s="13">
        <f t="shared" si="60"/>
        <v>0</v>
      </c>
      <c r="D287" s="119">
        <f t="shared" si="61"/>
        <v>0</v>
      </c>
      <c r="E287" s="13">
        <f t="shared" si="62"/>
        <v>0</v>
      </c>
      <c r="F287" s="13">
        <f t="shared" si="63"/>
        <v>0</v>
      </c>
      <c r="G287" s="13">
        <f t="shared" si="64"/>
        <v>0</v>
      </c>
      <c r="I287" s="120">
        <f t="shared" si="56"/>
        <v>0</v>
      </c>
      <c r="J287" s="120">
        <f t="shared" si="57"/>
        <v>0</v>
      </c>
      <c r="L287" s="13">
        <f t="shared" si="58"/>
        <v>0</v>
      </c>
      <c r="M287" s="13">
        <f t="shared" si="59"/>
        <v>0</v>
      </c>
    </row>
    <row r="288" spans="2:19" x14ac:dyDescent="0.2">
      <c r="B288" s="2">
        <v>278</v>
      </c>
      <c r="C288" s="13">
        <f t="shared" si="60"/>
        <v>0</v>
      </c>
      <c r="D288" s="119">
        <f t="shared" si="61"/>
        <v>0</v>
      </c>
      <c r="E288" s="13">
        <f t="shared" si="62"/>
        <v>0</v>
      </c>
      <c r="F288" s="13">
        <f t="shared" si="63"/>
        <v>0</v>
      </c>
      <c r="G288" s="13">
        <f t="shared" si="64"/>
        <v>0</v>
      </c>
      <c r="I288" s="120">
        <f t="shared" si="56"/>
        <v>0</v>
      </c>
      <c r="J288" s="120">
        <f t="shared" si="57"/>
        <v>0</v>
      </c>
      <c r="L288" s="13">
        <f t="shared" si="58"/>
        <v>0</v>
      </c>
      <c r="M288" s="13">
        <f t="shared" si="59"/>
        <v>0</v>
      </c>
    </row>
    <row r="289" spans="2:19" x14ac:dyDescent="0.2">
      <c r="B289" s="2">
        <v>279</v>
      </c>
      <c r="C289" s="13">
        <f t="shared" si="60"/>
        <v>0</v>
      </c>
      <c r="D289" s="119">
        <f t="shared" si="61"/>
        <v>0</v>
      </c>
      <c r="E289" s="13">
        <f t="shared" si="62"/>
        <v>0</v>
      </c>
      <c r="F289" s="13">
        <f t="shared" si="63"/>
        <v>0</v>
      </c>
      <c r="G289" s="13">
        <f t="shared" si="64"/>
        <v>0</v>
      </c>
      <c r="I289" s="120">
        <f t="shared" si="56"/>
        <v>0</v>
      </c>
      <c r="J289" s="120">
        <f t="shared" si="57"/>
        <v>0</v>
      </c>
      <c r="L289" s="13">
        <f t="shared" si="58"/>
        <v>0</v>
      </c>
      <c r="M289" s="13">
        <f t="shared" si="59"/>
        <v>0</v>
      </c>
    </row>
    <row r="290" spans="2:19" x14ac:dyDescent="0.2">
      <c r="B290" s="2">
        <v>280</v>
      </c>
      <c r="C290" s="13">
        <f t="shared" si="60"/>
        <v>0</v>
      </c>
      <c r="D290" s="119">
        <f t="shared" si="61"/>
        <v>0</v>
      </c>
      <c r="E290" s="13">
        <f t="shared" si="62"/>
        <v>0</v>
      </c>
      <c r="F290" s="13">
        <f t="shared" si="63"/>
        <v>0</v>
      </c>
      <c r="G290" s="13">
        <f t="shared" si="64"/>
        <v>0</v>
      </c>
      <c r="I290" s="120">
        <f t="shared" si="56"/>
        <v>0</v>
      </c>
      <c r="J290" s="120">
        <f t="shared" si="57"/>
        <v>0</v>
      </c>
      <c r="L290" s="13">
        <f t="shared" si="58"/>
        <v>0</v>
      </c>
      <c r="M290" s="13">
        <f t="shared" si="59"/>
        <v>0</v>
      </c>
    </row>
    <row r="291" spans="2:19" x14ac:dyDescent="0.2">
      <c r="B291" s="2">
        <v>281</v>
      </c>
      <c r="C291" s="13">
        <f t="shared" si="60"/>
        <v>0</v>
      </c>
      <c r="D291" s="119">
        <f t="shared" si="61"/>
        <v>0</v>
      </c>
      <c r="E291" s="13">
        <f t="shared" si="62"/>
        <v>0</v>
      </c>
      <c r="F291" s="13">
        <f t="shared" si="63"/>
        <v>0</v>
      </c>
      <c r="G291" s="13">
        <f t="shared" si="64"/>
        <v>0</v>
      </c>
      <c r="I291" s="120">
        <f t="shared" si="56"/>
        <v>0</v>
      </c>
      <c r="J291" s="120">
        <f t="shared" si="57"/>
        <v>0</v>
      </c>
      <c r="L291" s="13">
        <f t="shared" si="58"/>
        <v>0</v>
      </c>
      <c r="M291" s="13">
        <f t="shared" si="59"/>
        <v>0</v>
      </c>
    </row>
    <row r="292" spans="2:19" x14ac:dyDescent="0.2">
      <c r="B292" s="2">
        <v>282</v>
      </c>
      <c r="C292" s="13">
        <f t="shared" si="60"/>
        <v>0</v>
      </c>
      <c r="D292" s="119">
        <f t="shared" si="61"/>
        <v>0</v>
      </c>
      <c r="E292" s="13">
        <f t="shared" si="62"/>
        <v>0</v>
      </c>
      <c r="F292" s="13">
        <f t="shared" si="63"/>
        <v>0</v>
      </c>
      <c r="G292" s="13">
        <f t="shared" si="64"/>
        <v>0</v>
      </c>
      <c r="I292" s="120">
        <f t="shared" si="56"/>
        <v>0</v>
      </c>
      <c r="J292" s="120">
        <f t="shared" si="57"/>
        <v>0</v>
      </c>
      <c r="L292" s="13">
        <f t="shared" si="58"/>
        <v>0</v>
      </c>
      <c r="M292" s="13">
        <f t="shared" si="59"/>
        <v>0</v>
      </c>
    </row>
    <row r="293" spans="2:19" x14ac:dyDescent="0.2">
      <c r="B293" s="2">
        <v>283</v>
      </c>
      <c r="C293" s="13">
        <f t="shared" si="60"/>
        <v>0</v>
      </c>
      <c r="D293" s="119">
        <f t="shared" si="61"/>
        <v>0</v>
      </c>
      <c r="E293" s="13">
        <f t="shared" si="62"/>
        <v>0</v>
      </c>
      <c r="F293" s="13">
        <f t="shared" si="63"/>
        <v>0</v>
      </c>
      <c r="G293" s="13">
        <f t="shared" si="64"/>
        <v>0</v>
      </c>
      <c r="I293" s="120">
        <f t="shared" si="56"/>
        <v>0</v>
      </c>
      <c r="J293" s="120">
        <f t="shared" si="57"/>
        <v>0</v>
      </c>
      <c r="L293" s="13">
        <f t="shared" si="58"/>
        <v>0</v>
      </c>
      <c r="M293" s="13">
        <f t="shared" si="59"/>
        <v>0</v>
      </c>
    </row>
    <row r="294" spans="2:19" x14ac:dyDescent="0.2">
      <c r="B294" s="2">
        <v>284</v>
      </c>
      <c r="C294" s="13">
        <f t="shared" si="60"/>
        <v>0</v>
      </c>
      <c r="D294" s="119">
        <f t="shared" si="61"/>
        <v>0</v>
      </c>
      <c r="E294" s="13">
        <f t="shared" si="62"/>
        <v>0</v>
      </c>
      <c r="F294" s="13">
        <f t="shared" si="63"/>
        <v>0</v>
      </c>
      <c r="G294" s="13">
        <f t="shared" si="64"/>
        <v>0</v>
      </c>
      <c r="I294" s="120">
        <f t="shared" si="56"/>
        <v>0</v>
      </c>
      <c r="J294" s="120">
        <f t="shared" si="57"/>
        <v>0</v>
      </c>
      <c r="L294" s="13">
        <f t="shared" si="58"/>
        <v>0</v>
      </c>
      <c r="M294" s="13">
        <f t="shared" si="59"/>
        <v>0</v>
      </c>
    </row>
    <row r="295" spans="2:19" x14ac:dyDescent="0.2">
      <c r="B295" s="2">
        <v>285</v>
      </c>
      <c r="C295" s="13">
        <f t="shared" si="60"/>
        <v>0</v>
      </c>
      <c r="D295" s="119">
        <f t="shared" si="61"/>
        <v>0</v>
      </c>
      <c r="E295" s="13">
        <f t="shared" si="62"/>
        <v>0</v>
      </c>
      <c r="F295" s="13">
        <f t="shared" si="63"/>
        <v>0</v>
      </c>
      <c r="G295" s="13">
        <f t="shared" si="64"/>
        <v>0</v>
      </c>
      <c r="I295" s="120">
        <f t="shared" si="56"/>
        <v>0</v>
      </c>
      <c r="J295" s="120">
        <f t="shared" si="57"/>
        <v>0</v>
      </c>
      <c r="L295" s="13">
        <f t="shared" si="58"/>
        <v>0</v>
      </c>
      <c r="M295" s="13">
        <f t="shared" si="59"/>
        <v>0</v>
      </c>
    </row>
    <row r="296" spans="2:19" x14ac:dyDescent="0.2">
      <c r="B296" s="2">
        <v>286</v>
      </c>
      <c r="C296" s="13">
        <f t="shared" si="60"/>
        <v>0</v>
      </c>
      <c r="D296" s="119">
        <f t="shared" si="61"/>
        <v>0</v>
      </c>
      <c r="E296" s="13">
        <f t="shared" si="62"/>
        <v>0</v>
      </c>
      <c r="F296" s="13">
        <f t="shared" si="63"/>
        <v>0</v>
      </c>
      <c r="G296" s="13">
        <f t="shared" si="64"/>
        <v>0</v>
      </c>
      <c r="I296" s="120">
        <f t="shared" si="56"/>
        <v>0</v>
      </c>
      <c r="J296" s="120">
        <f t="shared" si="57"/>
        <v>0</v>
      </c>
      <c r="L296" s="13">
        <f t="shared" si="58"/>
        <v>0</v>
      </c>
      <c r="M296" s="13">
        <f t="shared" si="59"/>
        <v>0</v>
      </c>
    </row>
    <row r="297" spans="2:19" x14ac:dyDescent="0.2">
      <c r="B297" s="2">
        <v>287</v>
      </c>
      <c r="C297" s="13">
        <f t="shared" si="60"/>
        <v>0</v>
      </c>
      <c r="D297" s="119">
        <f t="shared" si="61"/>
        <v>0</v>
      </c>
      <c r="E297" s="13">
        <f t="shared" si="62"/>
        <v>0</v>
      </c>
      <c r="F297" s="13">
        <f t="shared" si="63"/>
        <v>0</v>
      </c>
      <c r="G297" s="13">
        <f t="shared" si="64"/>
        <v>0</v>
      </c>
      <c r="I297" s="120">
        <f t="shared" si="56"/>
        <v>0</v>
      </c>
      <c r="J297" s="120">
        <f t="shared" si="57"/>
        <v>0</v>
      </c>
      <c r="L297" s="13">
        <f t="shared" si="58"/>
        <v>0</v>
      </c>
      <c r="M297" s="13">
        <f t="shared" si="59"/>
        <v>0</v>
      </c>
    </row>
    <row r="298" spans="2:19" x14ac:dyDescent="0.2">
      <c r="B298" s="2">
        <v>288</v>
      </c>
      <c r="C298" s="13">
        <f t="shared" si="60"/>
        <v>0</v>
      </c>
      <c r="D298" s="119">
        <f t="shared" si="61"/>
        <v>0</v>
      </c>
      <c r="E298" s="13">
        <f t="shared" si="62"/>
        <v>0</v>
      </c>
      <c r="F298" s="13">
        <f t="shared" si="63"/>
        <v>0</v>
      </c>
      <c r="G298" s="13">
        <f t="shared" si="64"/>
        <v>0</v>
      </c>
      <c r="I298" s="120">
        <f t="shared" si="56"/>
        <v>0</v>
      </c>
      <c r="J298" s="120">
        <f t="shared" si="57"/>
        <v>0</v>
      </c>
      <c r="L298" s="13">
        <f t="shared" si="58"/>
        <v>0</v>
      </c>
      <c r="M298" s="13">
        <f t="shared" si="59"/>
        <v>0</v>
      </c>
      <c r="R298" s="129">
        <f t="shared" ref="R298:S298" si="67">SUM(L287:L298)</f>
        <v>0</v>
      </c>
      <c r="S298" s="129">
        <f t="shared" si="67"/>
        <v>0</v>
      </c>
    </row>
    <row r="299" spans="2:19" x14ac:dyDescent="0.2">
      <c r="B299" s="2">
        <v>289</v>
      </c>
      <c r="C299" s="13">
        <f t="shared" si="60"/>
        <v>0</v>
      </c>
      <c r="D299" s="119">
        <f t="shared" si="61"/>
        <v>0</v>
      </c>
      <c r="E299" s="13">
        <f t="shared" si="62"/>
        <v>0</v>
      </c>
      <c r="F299" s="13">
        <f t="shared" si="63"/>
        <v>0</v>
      </c>
      <c r="G299" s="13">
        <f t="shared" si="64"/>
        <v>0</v>
      </c>
      <c r="I299" s="120">
        <f t="shared" si="56"/>
        <v>0</v>
      </c>
      <c r="J299" s="120">
        <f t="shared" si="57"/>
        <v>0</v>
      </c>
      <c r="L299" s="13">
        <f t="shared" si="58"/>
        <v>0</v>
      </c>
      <c r="M299" s="13">
        <f t="shared" si="59"/>
        <v>0</v>
      </c>
    </row>
    <row r="300" spans="2:19" x14ac:dyDescent="0.2">
      <c r="B300" s="2">
        <v>290</v>
      </c>
      <c r="C300" s="13">
        <f t="shared" si="60"/>
        <v>0</v>
      </c>
      <c r="D300" s="119">
        <f t="shared" si="61"/>
        <v>0</v>
      </c>
      <c r="E300" s="13">
        <f t="shared" si="62"/>
        <v>0</v>
      </c>
      <c r="F300" s="13">
        <f t="shared" si="63"/>
        <v>0</v>
      </c>
      <c r="G300" s="13">
        <f t="shared" si="64"/>
        <v>0</v>
      </c>
      <c r="I300" s="120">
        <f t="shared" si="56"/>
        <v>0</v>
      </c>
      <c r="J300" s="120">
        <f t="shared" si="57"/>
        <v>0</v>
      </c>
      <c r="L300" s="13">
        <f t="shared" si="58"/>
        <v>0</v>
      </c>
      <c r="M300" s="13">
        <f t="shared" si="59"/>
        <v>0</v>
      </c>
    </row>
    <row r="301" spans="2:19" x14ac:dyDescent="0.2">
      <c r="B301" s="2">
        <v>291</v>
      </c>
      <c r="C301" s="13">
        <f t="shared" si="60"/>
        <v>0</v>
      </c>
      <c r="D301" s="119">
        <f t="shared" si="61"/>
        <v>0</v>
      </c>
      <c r="E301" s="13">
        <f t="shared" si="62"/>
        <v>0</v>
      </c>
      <c r="F301" s="13">
        <f t="shared" si="63"/>
        <v>0</v>
      </c>
      <c r="G301" s="13">
        <f t="shared" si="64"/>
        <v>0</v>
      </c>
      <c r="I301" s="120">
        <f t="shared" si="56"/>
        <v>0</v>
      </c>
      <c r="J301" s="120">
        <f t="shared" si="57"/>
        <v>0</v>
      </c>
      <c r="L301" s="13">
        <f t="shared" si="58"/>
        <v>0</v>
      </c>
      <c r="M301" s="13">
        <f t="shared" si="59"/>
        <v>0</v>
      </c>
    </row>
    <row r="302" spans="2:19" x14ac:dyDescent="0.2">
      <c r="B302" s="2">
        <v>292</v>
      </c>
      <c r="C302" s="13">
        <f t="shared" si="60"/>
        <v>0</v>
      </c>
      <c r="D302" s="119">
        <f t="shared" si="61"/>
        <v>0</v>
      </c>
      <c r="E302" s="13">
        <f t="shared" si="62"/>
        <v>0</v>
      </c>
      <c r="F302" s="13">
        <f t="shared" si="63"/>
        <v>0</v>
      </c>
      <c r="G302" s="13">
        <f t="shared" si="64"/>
        <v>0</v>
      </c>
      <c r="I302" s="120">
        <f t="shared" si="56"/>
        <v>0</v>
      </c>
      <c r="J302" s="120">
        <f t="shared" si="57"/>
        <v>0</v>
      </c>
      <c r="L302" s="13">
        <f t="shared" si="58"/>
        <v>0</v>
      </c>
      <c r="M302" s="13">
        <f t="shared" si="59"/>
        <v>0</v>
      </c>
    </row>
    <row r="303" spans="2:19" x14ac:dyDescent="0.2">
      <c r="B303" s="2">
        <v>293</v>
      </c>
      <c r="C303" s="13">
        <f t="shared" si="60"/>
        <v>0</v>
      </c>
      <c r="D303" s="119">
        <f t="shared" si="61"/>
        <v>0</v>
      </c>
      <c r="E303" s="13">
        <f t="shared" si="62"/>
        <v>0</v>
      </c>
      <c r="F303" s="13">
        <f t="shared" si="63"/>
        <v>0</v>
      </c>
      <c r="G303" s="13">
        <f t="shared" si="64"/>
        <v>0</v>
      </c>
      <c r="I303" s="120">
        <f t="shared" si="56"/>
        <v>0</v>
      </c>
      <c r="J303" s="120">
        <f t="shared" si="57"/>
        <v>0</v>
      </c>
      <c r="L303" s="13">
        <f t="shared" si="58"/>
        <v>0</v>
      </c>
      <c r="M303" s="13">
        <f t="shared" si="59"/>
        <v>0</v>
      </c>
    </row>
    <row r="304" spans="2:19" x14ac:dyDescent="0.2">
      <c r="B304" s="2">
        <v>294</v>
      </c>
      <c r="C304" s="13">
        <f t="shared" si="60"/>
        <v>0</v>
      </c>
      <c r="D304" s="119">
        <f t="shared" si="61"/>
        <v>0</v>
      </c>
      <c r="E304" s="13">
        <f t="shared" si="62"/>
        <v>0</v>
      </c>
      <c r="F304" s="13">
        <f t="shared" si="63"/>
        <v>0</v>
      </c>
      <c r="G304" s="13">
        <f t="shared" si="64"/>
        <v>0</v>
      </c>
      <c r="I304" s="120">
        <f t="shared" si="56"/>
        <v>0</v>
      </c>
      <c r="J304" s="120">
        <f t="shared" si="57"/>
        <v>0</v>
      </c>
      <c r="L304" s="13">
        <f t="shared" si="58"/>
        <v>0</v>
      </c>
      <c r="M304" s="13">
        <f t="shared" si="59"/>
        <v>0</v>
      </c>
    </row>
    <row r="305" spans="2:19" x14ac:dyDescent="0.2">
      <c r="B305" s="2">
        <v>295</v>
      </c>
      <c r="C305" s="13">
        <f t="shared" si="60"/>
        <v>0</v>
      </c>
      <c r="D305" s="119">
        <f t="shared" si="61"/>
        <v>0</v>
      </c>
      <c r="E305" s="13">
        <f t="shared" si="62"/>
        <v>0</v>
      </c>
      <c r="F305" s="13">
        <f t="shared" si="63"/>
        <v>0</v>
      </c>
      <c r="G305" s="13">
        <f t="shared" si="64"/>
        <v>0</v>
      </c>
      <c r="I305" s="120">
        <f t="shared" si="56"/>
        <v>0</v>
      </c>
      <c r="J305" s="120">
        <f t="shared" si="57"/>
        <v>0</v>
      </c>
      <c r="L305" s="13">
        <f t="shared" si="58"/>
        <v>0</v>
      </c>
      <c r="M305" s="13">
        <f t="shared" si="59"/>
        <v>0</v>
      </c>
    </row>
    <row r="306" spans="2:19" x14ac:dyDescent="0.2">
      <c r="B306" s="2">
        <v>296</v>
      </c>
      <c r="C306" s="13">
        <f t="shared" si="60"/>
        <v>0</v>
      </c>
      <c r="D306" s="119">
        <f t="shared" si="61"/>
        <v>0</v>
      </c>
      <c r="E306" s="13">
        <f t="shared" si="62"/>
        <v>0</v>
      </c>
      <c r="F306" s="13">
        <f t="shared" si="63"/>
        <v>0</v>
      </c>
      <c r="G306" s="13">
        <f t="shared" si="64"/>
        <v>0</v>
      </c>
      <c r="I306" s="120">
        <f t="shared" si="56"/>
        <v>0</v>
      </c>
      <c r="J306" s="120">
        <f t="shared" si="57"/>
        <v>0</v>
      </c>
      <c r="L306" s="13">
        <f t="shared" si="58"/>
        <v>0</v>
      </c>
      <c r="M306" s="13">
        <f t="shared" si="59"/>
        <v>0</v>
      </c>
    </row>
    <row r="307" spans="2:19" x14ac:dyDescent="0.2">
      <c r="B307" s="2">
        <v>297</v>
      </c>
      <c r="C307" s="13">
        <f t="shared" si="60"/>
        <v>0</v>
      </c>
      <c r="D307" s="119">
        <f t="shared" si="61"/>
        <v>0</v>
      </c>
      <c r="E307" s="13">
        <f t="shared" si="62"/>
        <v>0</v>
      </c>
      <c r="F307" s="13">
        <f t="shared" si="63"/>
        <v>0</v>
      </c>
      <c r="G307" s="13">
        <f t="shared" si="64"/>
        <v>0</v>
      </c>
      <c r="I307" s="120">
        <f t="shared" si="56"/>
        <v>0</v>
      </c>
      <c r="J307" s="120">
        <f t="shared" si="57"/>
        <v>0</v>
      </c>
      <c r="L307" s="13">
        <f t="shared" si="58"/>
        <v>0</v>
      </c>
      <c r="M307" s="13">
        <f t="shared" si="59"/>
        <v>0</v>
      </c>
    </row>
    <row r="308" spans="2:19" x14ac:dyDescent="0.2">
      <c r="B308" s="2">
        <v>298</v>
      </c>
      <c r="C308" s="13">
        <f t="shared" si="60"/>
        <v>0</v>
      </c>
      <c r="D308" s="119">
        <f t="shared" si="61"/>
        <v>0</v>
      </c>
      <c r="E308" s="13">
        <f t="shared" si="62"/>
        <v>0</v>
      </c>
      <c r="F308" s="13">
        <f t="shared" si="63"/>
        <v>0</v>
      </c>
      <c r="G308" s="13">
        <f t="shared" si="64"/>
        <v>0</v>
      </c>
      <c r="I308" s="120">
        <f t="shared" si="56"/>
        <v>0</v>
      </c>
      <c r="J308" s="120">
        <f t="shared" si="57"/>
        <v>0</v>
      </c>
      <c r="L308" s="13">
        <f t="shared" si="58"/>
        <v>0</v>
      </c>
      <c r="M308" s="13">
        <f t="shared" si="59"/>
        <v>0</v>
      </c>
    </row>
    <row r="309" spans="2:19" x14ac:dyDescent="0.2">
      <c r="B309" s="2">
        <v>299</v>
      </c>
      <c r="C309" s="13">
        <f t="shared" si="60"/>
        <v>0</v>
      </c>
      <c r="D309" s="119">
        <f t="shared" si="61"/>
        <v>0</v>
      </c>
      <c r="E309" s="13">
        <f t="shared" si="62"/>
        <v>0</v>
      </c>
      <c r="F309" s="13">
        <f t="shared" si="63"/>
        <v>0</v>
      </c>
      <c r="G309" s="13">
        <f t="shared" si="64"/>
        <v>0</v>
      </c>
      <c r="I309" s="120">
        <f t="shared" si="56"/>
        <v>0</v>
      </c>
      <c r="J309" s="120">
        <f t="shared" si="57"/>
        <v>0</v>
      </c>
      <c r="L309" s="13">
        <f t="shared" si="58"/>
        <v>0</v>
      </c>
      <c r="M309" s="13">
        <f t="shared" si="59"/>
        <v>0</v>
      </c>
    </row>
    <row r="310" spans="2:19" x14ac:dyDescent="0.2">
      <c r="B310" s="2">
        <v>300</v>
      </c>
      <c r="C310" s="13">
        <f t="shared" si="60"/>
        <v>0</v>
      </c>
      <c r="D310" s="119">
        <f t="shared" si="61"/>
        <v>0</v>
      </c>
      <c r="E310" s="13">
        <f t="shared" si="62"/>
        <v>0</v>
      </c>
      <c r="F310" s="13">
        <f t="shared" si="63"/>
        <v>0</v>
      </c>
      <c r="G310" s="13">
        <f t="shared" si="64"/>
        <v>0</v>
      </c>
      <c r="I310" s="120">
        <f t="shared" si="56"/>
        <v>0</v>
      </c>
      <c r="J310" s="120">
        <f t="shared" si="57"/>
        <v>0</v>
      </c>
      <c r="L310" s="13">
        <f t="shared" si="58"/>
        <v>0</v>
      </c>
      <c r="M310" s="13">
        <f t="shared" si="59"/>
        <v>0</v>
      </c>
      <c r="R310" s="129">
        <f t="shared" ref="R310:S310" si="68">SUM(L299:L310)</f>
        <v>0</v>
      </c>
      <c r="S310" s="129">
        <f t="shared" si="68"/>
        <v>0</v>
      </c>
    </row>
    <row r="311" spans="2:19" x14ac:dyDescent="0.2">
      <c r="B311" s="2">
        <v>301</v>
      </c>
      <c r="C311" s="13">
        <f t="shared" si="60"/>
        <v>0</v>
      </c>
      <c r="D311" s="119">
        <f t="shared" si="61"/>
        <v>0</v>
      </c>
      <c r="E311" s="13">
        <f t="shared" si="62"/>
        <v>0</v>
      </c>
      <c r="F311" s="13">
        <f t="shared" si="63"/>
        <v>0</v>
      </c>
      <c r="G311" s="13">
        <f t="shared" si="64"/>
        <v>0</v>
      </c>
      <c r="I311" s="120">
        <f t="shared" si="56"/>
        <v>0</v>
      </c>
      <c r="J311" s="120">
        <f t="shared" si="57"/>
        <v>0</v>
      </c>
      <c r="L311" s="13">
        <f t="shared" si="58"/>
        <v>0</v>
      </c>
      <c r="M311" s="13">
        <f t="shared" si="59"/>
        <v>0</v>
      </c>
    </row>
    <row r="312" spans="2:19" x14ac:dyDescent="0.2">
      <c r="B312" s="2">
        <v>302</v>
      </c>
      <c r="C312" s="13">
        <f t="shared" si="60"/>
        <v>0</v>
      </c>
      <c r="D312" s="119">
        <f t="shared" si="61"/>
        <v>0</v>
      </c>
      <c r="E312" s="13">
        <f t="shared" si="62"/>
        <v>0</v>
      </c>
      <c r="F312" s="13">
        <f t="shared" si="63"/>
        <v>0</v>
      </c>
      <c r="G312" s="13">
        <f t="shared" si="64"/>
        <v>0</v>
      </c>
      <c r="I312" s="120">
        <f t="shared" si="56"/>
        <v>0</v>
      </c>
      <c r="J312" s="120">
        <f t="shared" si="57"/>
        <v>0</v>
      </c>
      <c r="L312" s="13">
        <f t="shared" si="58"/>
        <v>0</v>
      </c>
      <c r="M312" s="13">
        <f t="shared" si="59"/>
        <v>0</v>
      </c>
    </row>
    <row r="313" spans="2:19" x14ac:dyDescent="0.2">
      <c r="B313" s="2">
        <v>303</v>
      </c>
      <c r="C313" s="13">
        <f t="shared" si="60"/>
        <v>0</v>
      </c>
      <c r="D313" s="119">
        <f t="shared" si="61"/>
        <v>0</v>
      </c>
      <c r="E313" s="13">
        <f t="shared" si="62"/>
        <v>0</v>
      </c>
      <c r="F313" s="13">
        <f t="shared" si="63"/>
        <v>0</v>
      </c>
      <c r="G313" s="13">
        <f t="shared" si="64"/>
        <v>0</v>
      </c>
      <c r="I313" s="120">
        <f t="shared" si="56"/>
        <v>0</v>
      </c>
      <c r="J313" s="120">
        <f t="shared" si="57"/>
        <v>0</v>
      </c>
      <c r="L313" s="13">
        <f t="shared" si="58"/>
        <v>0</v>
      </c>
      <c r="M313" s="13">
        <f t="shared" si="59"/>
        <v>0</v>
      </c>
    </row>
    <row r="314" spans="2:19" x14ac:dyDescent="0.2">
      <c r="B314" s="2">
        <v>304</v>
      </c>
      <c r="C314" s="13">
        <f t="shared" si="60"/>
        <v>0</v>
      </c>
      <c r="D314" s="119">
        <f t="shared" si="61"/>
        <v>0</v>
      </c>
      <c r="E314" s="13">
        <f t="shared" si="62"/>
        <v>0</v>
      </c>
      <c r="F314" s="13">
        <f t="shared" si="63"/>
        <v>0</v>
      </c>
      <c r="G314" s="13">
        <f t="shared" si="64"/>
        <v>0</v>
      </c>
      <c r="I314" s="120">
        <f t="shared" si="56"/>
        <v>0</v>
      </c>
      <c r="J314" s="120">
        <f t="shared" si="57"/>
        <v>0</v>
      </c>
      <c r="L314" s="13">
        <f t="shared" si="58"/>
        <v>0</v>
      </c>
      <c r="M314" s="13">
        <f t="shared" si="59"/>
        <v>0</v>
      </c>
    </row>
    <row r="315" spans="2:19" x14ac:dyDescent="0.2">
      <c r="B315" s="2">
        <v>305</v>
      </c>
      <c r="C315" s="13">
        <f t="shared" si="60"/>
        <v>0</v>
      </c>
      <c r="D315" s="119">
        <f t="shared" si="61"/>
        <v>0</v>
      </c>
      <c r="E315" s="13">
        <f t="shared" si="62"/>
        <v>0</v>
      </c>
      <c r="F315" s="13">
        <f t="shared" si="63"/>
        <v>0</v>
      </c>
      <c r="G315" s="13">
        <f t="shared" si="64"/>
        <v>0</v>
      </c>
      <c r="I315" s="120">
        <f t="shared" si="56"/>
        <v>0</v>
      </c>
      <c r="J315" s="120">
        <f t="shared" si="57"/>
        <v>0</v>
      </c>
      <c r="L315" s="13">
        <f t="shared" si="58"/>
        <v>0</v>
      </c>
      <c r="M315" s="13">
        <f t="shared" si="59"/>
        <v>0</v>
      </c>
    </row>
    <row r="316" spans="2:19" x14ac:dyDescent="0.2">
      <c r="B316" s="2">
        <v>306</v>
      </c>
      <c r="C316" s="13">
        <f t="shared" si="60"/>
        <v>0</v>
      </c>
      <c r="D316" s="119">
        <f t="shared" si="61"/>
        <v>0</v>
      </c>
      <c r="E316" s="13">
        <f t="shared" si="62"/>
        <v>0</v>
      </c>
      <c r="F316" s="13">
        <f t="shared" si="63"/>
        <v>0</v>
      </c>
      <c r="G316" s="13">
        <f t="shared" si="64"/>
        <v>0</v>
      </c>
      <c r="I316" s="120">
        <f t="shared" si="56"/>
        <v>0</v>
      </c>
      <c r="J316" s="120">
        <f t="shared" si="57"/>
        <v>0</v>
      </c>
      <c r="L316" s="13">
        <f t="shared" si="58"/>
        <v>0</v>
      </c>
      <c r="M316" s="13">
        <f t="shared" si="59"/>
        <v>0</v>
      </c>
    </row>
    <row r="317" spans="2:19" x14ac:dyDescent="0.2">
      <c r="B317" s="2">
        <v>307</v>
      </c>
      <c r="C317" s="13">
        <f t="shared" si="60"/>
        <v>0</v>
      </c>
      <c r="D317" s="119">
        <f t="shared" si="61"/>
        <v>0</v>
      </c>
      <c r="E317" s="13">
        <f t="shared" si="62"/>
        <v>0</v>
      </c>
      <c r="F317" s="13">
        <f t="shared" si="63"/>
        <v>0</v>
      </c>
      <c r="G317" s="13">
        <f t="shared" si="64"/>
        <v>0</v>
      </c>
      <c r="I317" s="120">
        <f t="shared" si="56"/>
        <v>0</v>
      </c>
      <c r="J317" s="120">
        <f t="shared" si="57"/>
        <v>0</v>
      </c>
      <c r="L317" s="13">
        <f t="shared" si="58"/>
        <v>0</v>
      </c>
      <c r="M317" s="13">
        <f t="shared" si="59"/>
        <v>0</v>
      </c>
    </row>
    <row r="318" spans="2:19" x14ac:dyDescent="0.2">
      <c r="B318" s="2">
        <v>308</v>
      </c>
      <c r="C318" s="13">
        <f t="shared" si="60"/>
        <v>0</v>
      </c>
      <c r="D318" s="119">
        <f t="shared" si="61"/>
        <v>0</v>
      </c>
      <c r="E318" s="13">
        <f t="shared" si="62"/>
        <v>0</v>
      </c>
      <c r="F318" s="13">
        <f t="shared" si="63"/>
        <v>0</v>
      </c>
      <c r="G318" s="13">
        <f t="shared" si="64"/>
        <v>0</v>
      </c>
      <c r="I318" s="120">
        <f t="shared" si="56"/>
        <v>0</v>
      </c>
      <c r="J318" s="120">
        <f t="shared" si="57"/>
        <v>0</v>
      </c>
      <c r="L318" s="13">
        <f t="shared" si="58"/>
        <v>0</v>
      </c>
      <c r="M318" s="13">
        <f t="shared" si="59"/>
        <v>0</v>
      </c>
    </row>
    <row r="319" spans="2:19" x14ac:dyDescent="0.2">
      <c r="B319" s="2">
        <v>309</v>
      </c>
      <c r="C319" s="13">
        <f t="shared" si="60"/>
        <v>0</v>
      </c>
      <c r="D319" s="119">
        <f t="shared" si="61"/>
        <v>0</v>
      </c>
      <c r="E319" s="13">
        <f t="shared" si="62"/>
        <v>0</v>
      </c>
      <c r="F319" s="13">
        <f t="shared" si="63"/>
        <v>0</v>
      </c>
      <c r="G319" s="13">
        <f t="shared" si="64"/>
        <v>0</v>
      </c>
      <c r="I319" s="120">
        <f t="shared" si="56"/>
        <v>0</v>
      </c>
      <c r="J319" s="120">
        <f t="shared" si="57"/>
        <v>0</v>
      </c>
      <c r="L319" s="13">
        <f t="shared" si="58"/>
        <v>0</v>
      </c>
      <c r="M319" s="13">
        <f t="shared" si="59"/>
        <v>0</v>
      </c>
    </row>
    <row r="320" spans="2:19" x14ac:dyDescent="0.2">
      <c r="B320" s="2">
        <v>310</v>
      </c>
      <c r="C320" s="13">
        <f t="shared" si="60"/>
        <v>0</v>
      </c>
      <c r="D320" s="119">
        <f t="shared" si="61"/>
        <v>0</v>
      </c>
      <c r="E320" s="13">
        <f t="shared" si="62"/>
        <v>0</v>
      </c>
      <c r="F320" s="13">
        <f t="shared" si="63"/>
        <v>0</v>
      </c>
      <c r="G320" s="13">
        <f t="shared" si="64"/>
        <v>0</v>
      </c>
      <c r="I320" s="120">
        <f t="shared" si="56"/>
        <v>0</v>
      </c>
      <c r="J320" s="120">
        <f t="shared" si="57"/>
        <v>0</v>
      </c>
      <c r="L320" s="13">
        <f t="shared" si="58"/>
        <v>0</v>
      </c>
      <c r="M320" s="13">
        <f t="shared" si="59"/>
        <v>0</v>
      </c>
    </row>
    <row r="321" spans="2:19" x14ac:dyDescent="0.2">
      <c r="B321" s="2">
        <v>311</v>
      </c>
      <c r="C321" s="13">
        <f t="shared" si="60"/>
        <v>0</v>
      </c>
      <c r="D321" s="119">
        <f t="shared" si="61"/>
        <v>0</v>
      </c>
      <c r="E321" s="13">
        <f t="shared" si="62"/>
        <v>0</v>
      </c>
      <c r="F321" s="13">
        <f t="shared" si="63"/>
        <v>0</v>
      </c>
      <c r="G321" s="13">
        <f t="shared" si="64"/>
        <v>0</v>
      </c>
      <c r="I321" s="120">
        <f t="shared" si="56"/>
        <v>0</v>
      </c>
      <c r="J321" s="120">
        <f t="shared" si="57"/>
        <v>0</v>
      </c>
      <c r="L321" s="13">
        <f t="shared" si="58"/>
        <v>0</v>
      </c>
      <c r="M321" s="13">
        <f t="shared" si="59"/>
        <v>0</v>
      </c>
    </row>
    <row r="322" spans="2:19" x14ac:dyDescent="0.2">
      <c r="B322" s="2">
        <v>312</v>
      </c>
      <c r="C322" s="13">
        <f t="shared" si="60"/>
        <v>0</v>
      </c>
      <c r="D322" s="119">
        <f t="shared" si="61"/>
        <v>0</v>
      </c>
      <c r="E322" s="13">
        <f t="shared" si="62"/>
        <v>0</v>
      </c>
      <c r="F322" s="13">
        <f t="shared" si="63"/>
        <v>0</v>
      </c>
      <c r="G322" s="13">
        <f t="shared" si="64"/>
        <v>0</v>
      </c>
      <c r="I322" s="120">
        <f t="shared" si="56"/>
        <v>0</v>
      </c>
      <c r="J322" s="120">
        <f t="shared" si="57"/>
        <v>0</v>
      </c>
      <c r="L322" s="13">
        <f t="shared" si="58"/>
        <v>0</v>
      </c>
      <c r="M322" s="13">
        <f t="shared" si="59"/>
        <v>0</v>
      </c>
      <c r="R322" s="129">
        <f t="shared" ref="R322:S322" si="69">SUM(L311:L322)</f>
        <v>0</v>
      </c>
      <c r="S322" s="129">
        <f t="shared" si="69"/>
        <v>0</v>
      </c>
    </row>
    <row r="323" spans="2:19" x14ac:dyDescent="0.2">
      <c r="B323" s="2">
        <v>313</v>
      </c>
      <c r="C323" s="13">
        <f t="shared" si="60"/>
        <v>0</v>
      </c>
      <c r="D323" s="119">
        <f t="shared" si="61"/>
        <v>0</v>
      </c>
      <c r="E323" s="13">
        <f t="shared" si="62"/>
        <v>0</v>
      </c>
      <c r="F323" s="13">
        <f t="shared" si="63"/>
        <v>0</v>
      </c>
      <c r="G323" s="13">
        <f t="shared" si="64"/>
        <v>0</v>
      </c>
      <c r="I323" s="120">
        <f t="shared" si="56"/>
        <v>0</v>
      </c>
      <c r="J323" s="120">
        <f t="shared" si="57"/>
        <v>0</v>
      </c>
      <c r="L323" s="13">
        <f t="shared" si="58"/>
        <v>0</v>
      </c>
      <c r="M323" s="13">
        <f t="shared" si="59"/>
        <v>0</v>
      </c>
    </row>
    <row r="324" spans="2:19" x14ac:dyDescent="0.2">
      <c r="B324" s="2">
        <v>314</v>
      </c>
      <c r="C324" s="13">
        <f t="shared" si="60"/>
        <v>0</v>
      </c>
      <c r="D324" s="119">
        <f t="shared" si="61"/>
        <v>0</v>
      </c>
      <c r="E324" s="13">
        <f t="shared" si="62"/>
        <v>0</v>
      </c>
      <c r="F324" s="13">
        <f t="shared" si="63"/>
        <v>0</v>
      </c>
      <c r="G324" s="13">
        <f t="shared" si="64"/>
        <v>0</v>
      </c>
      <c r="I324" s="120">
        <f t="shared" si="56"/>
        <v>0</v>
      </c>
      <c r="J324" s="120">
        <f t="shared" si="57"/>
        <v>0</v>
      </c>
      <c r="L324" s="13">
        <f t="shared" si="58"/>
        <v>0</v>
      </c>
      <c r="M324" s="13">
        <f t="shared" si="59"/>
        <v>0</v>
      </c>
    </row>
    <row r="325" spans="2:19" x14ac:dyDescent="0.2">
      <c r="B325" s="2">
        <v>315</v>
      </c>
      <c r="C325" s="13">
        <f t="shared" si="60"/>
        <v>0</v>
      </c>
      <c r="D325" s="119">
        <f t="shared" si="61"/>
        <v>0</v>
      </c>
      <c r="E325" s="13">
        <f>IF(B325&gt;$D$6*12,0,D325*C325)</f>
        <v>0</v>
      </c>
      <c r="F325" s="13">
        <f t="shared" si="63"/>
        <v>0</v>
      </c>
      <c r="G325" s="13">
        <f>IF(B325&gt;$D$6*12,0,C325+E325+F325)</f>
        <v>0</v>
      </c>
      <c r="I325" s="120">
        <f t="shared" si="56"/>
        <v>0</v>
      </c>
      <c r="J325" s="120">
        <f t="shared" si="57"/>
        <v>0</v>
      </c>
      <c r="L325" s="13">
        <f t="shared" si="58"/>
        <v>0</v>
      </c>
      <c r="M325" s="13">
        <f>IF(B325&gt;$D$6*12,0,-E325)</f>
        <v>0</v>
      </c>
    </row>
    <row r="326" spans="2:19" x14ac:dyDescent="0.2">
      <c r="B326" s="2">
        <v>316</v>
      </c>
      <c r="C326" s="13">
        <f t="shared" si="60"/>
        <v>0</v>
      </c>
      <c r="D326" s="119">
        <f t="shared" si="61"/>
        <v>0</v>
      </c>
      <c r="E326" s="13">
        <f t="shared" si="62"/>
        <v>0</v>
      </c>
      <c r="F326" s="13">
        <f t="shared" si="63"/>
        <v>0</v>
      </c>
      <c r="G326" s="13">
        <f t="shared" si="64"/>
        <v>0</v>
      </c>
      <c r="I326" s="120">
        <f t="shared" si="56"/>
        <v>0</v>
      </c>
      <c r="J326" s="120">
        <f t="shared" si="57"/>
        <v>0</v>
      </c>
      <c r="L326" s="13">
        <f t="shared" si="58"/>
        <v>0</v>
      </c>
      <c r="M326" s="13">
        <f t="shared" si="59"/>
        <v>0</v>
      </c>
    </row>
    <row r="327" spans="2:19" x14ac:dyDescent="0.2">
      <c r="B327" s="2">
        <v>317</v>
      </c>
      <c r="C327" s="13">
        <f t="shared" si="60"/>
        <v>0</v>
      </c>
      <c r="D327" s="119">
        <f t="shared" si="61"/>
        <v>0</v>
      </c>
      <c r="E327" s="13">
        <f t="shared" si="62"/>
        <v>0</v>
      </c>
      <c r="F327" s="13">
        <f t="shared" si="63"/>
        <v>0</v>
      </c>
      <c r="G327" s="13">
        <f t="shared" si="64"/>
        <v>0</v>
      </c>
      <c r="I327" s="120">
        <f t="shared" si="56"/>
        <v>0</v>
      </c>
      <c r="J327" s="120">
        <f t="shared" si="57"/>
        <v>0</v>
      </c>
      <c r="L327" s="13">
        <f t="shared" si="58"/>
        <v>0</v>
      </c>
      <c r="M327" s="13">
        <f t="shared" si="59"/>
        <v>0</v>
      </c>
    </row>
    <row r="328" spans="2:19" x14ac:dyDescent="0.2">
      <c r="B328" s="2">
        <v>318</v>
      </c>
      <c r="C328" s="13">
        <f t="shared" si="60"/>
        <v>0</v>
      </c>
      <c r="D328" s="119">
        <f t="shared" si="61"/>
        <v>0</v>
      </c>
      <c r="E328" s="13">
        <f t="shared" si="62"/>
        <v>0</v>
      </c>
      <c r="F328" s="13">
        <f t="shared" si="63"/>
        <v>0</v>
      </c>
      <c r="G328" s="13">
        <f t="shared" si="64"/>
        <v>0</v>
      </c>
      <c r="I328" s="120">
        <f t="shared" si="56"/>
        <v>0</v>
      </c>
      <c r="J328" s="120">
        <f t="shared" si="57"/>
        <v>0</v>
      </c>
      <c r="L328" s="13">
        <f t="shared" si="58"/>
        <v>0</v>
      </c>
      <c r="M328" s="13">
        <f t="shared" si="59"/>
        <v>0</v>
      </c>
    </row>
    <row r="329" spans="2:19" x14ac:dyDescent="0.2">
      <c r="B329" s="2">
        <v>319</v>
      </c>
      <c r="C329" s="13">
        <f t="shared" si="60"/>
        <v>0</v>
      </c>
      <c r="D329" s="119">
        <f t="shared" si="61"/>
        <v>0</v>
      </c>
      <c r="E329" s="13">
        <f t="shared" si="62"/>
        <v>0</v>
      </c>
      <c r="F329" s="13">
        <f t="shared" si="63"/>
        <v>0</v>
      </c>
      <c r="G329" s="13">
        <f t="shared" si="64"/>
        <v>0</v>
      </c>
      <c r="I329" s="120">
        <f t="shared" si="56"/>
        <v>0</v>
      </c>
      <c r="J329" s="120">
        <f t="shared" si="57"/>
        <v>0</v>
      </c>
      <c r="L329" s="13">
        <f t="shared" si="58"/>
        <v>0</v>
      </c>
      <c r="M329" s="13">
        <f t="shared" si="59"/>
        <v>0</v>
      </c>
    </row>
    <row r="330" spans="2:19" x14ac:dyDescent="0.2">
      <c r="B330" s="2">
        <v>320</v>
      </c>
      <c r="C330" s="13">
        <f t="shared" si="60"/>
        <v>0</v>
      </c>
      <c r="D330" s="119">
        <f t="shared" si="61"/>
        <v>0</v>
      </c>
      <c r="E330" s="13">
        <f t="shared" si="62"/>
        <v>0</v>
      </c>
      <c r="F330" s="13">
        <f t="shared" si="63"/>
        <v>0</v>
      </c>
      <c r="G330" s="13">
        <f t="shared" si="64"/>
        <v>0</v>
      </c>
      <c r="I330" s="120">
        <f t="shared" si="56"/>
        <v>0</v>
      </c>
      <c r="J330" s="120">
        <f t="shared" si="57"/>
        <v>0</v>
      </c>
      <c r="L330" s="13">
        <f t="shared" si="58"/>
        <v>0</v>
      </c>
      <c r="M330" s="13">
        <f t="shared" si="59"/>
        <v>0</v>
      </c>
    </row>
    <row r="331" spans="2:19" x14ac:dyDescent="0.2">
      <c r="B331" s="2">
        <v>321</v>
      </c>
      <c r="C331" s="13">
        <f t="shared" si="60"/>
        <v>0</v>
      </c>
      <c r="D331" s="119">
        <f t="shared" si="61"/>
        <v>0</v>
      </c>
      <c r="E331" s="13">
        <f t="shared" si="62"/>
        <v>0</v>
      </c>
      <c r="F331" s="13">
        <f t="shared" si="63"/>
        <v>0</v>
      </c>
      <c r="G331" s="13">
        <f t="shared" si="64"/>
        <v>0</v>
      </c>
      <c r="I331" s="120">
        <f t="shared" si="56"/>
        <v>0</v>
      </c>
      <c r="J331" s="120">
        <f t="shared" si="57"/>
        <v>0</v>
      </c>
      <c r="L331" s="13">
        <f t="shared" si="58"/>
        <v>0</v>
      </c>
      <c r="M331" s="13">
        <f t="shared" si="59"/>
        <v>0</v>
      </c>
    </row>
    <row r="332" spans="2:19" x14ac:dyDescent="0.2">
      <c r="B332" s="2">
        <v>322</v>
      </c>
      <c r="C332" s="13">
        <f t="shared" si="60"/>
        <v>0</v>
      </c>
      <c r="D332" s="119">
        <f t="shared" si="61"/>
        <v>0</v>
      </c>
      <c r="E332" s="13">
        <f t="shared" si="62"/>
        <v>0</v>
      </c>
      <c r="F332" s="13">
        <f t="shared" si="63"/>
        <v>0</v>
      </c>
      <c r="G332" s="13">
        <f t="shared" si="64"/>
        <v>0</v>
      </c>
      <c r="I332" s="120">
        <f t="shared" ref="I332:I395" si="70">IF(B332&gt;$D$6*12,0,L332/(L332+M332))</f>
        <v>0</v>
      </c>
      <c r="J332" s="120">
        <f t="shared" ref="J332:J395" si="71">IF(B332&gt;$D$6*12,0,M332/(L332+M332))</f>
        <v>0</v>
      </c>
      <c r="L332" s="13">
        <f t="shared" ref="L332:L395" si="72">IF(B332&gt;$D$6*12,0,F332+E332)</f>
        <v>0</v>
      </c>
      <c r="M332" s="13">
        <f t="shared" ref="M332:M395" si="73">IF(B332&gt;$D$6*12,0,-E332)</f>
        <v>0</v>
      </c>
    </row>
    <row r="333" spans="2:19" x14ac:dyDescent="0.2">
      <c r="B333" s="2">
        <v>323</v>
      </c>
      <c r="C333" s="13">
        <f t="shared" ref="C333:C396" si="74">IF(B333&gt;$D$6*12,0,G332)</f>
        <v>0</v>
      </c>
      <c r="D333" s="119">
        <f t="shared" ref="D333:D396" si="75">IF(B333&gt;$D$6*12,0,D332)</f>
        <v>0</v>
      </c>
      <c r="E333" s="13">
        <f t="shared" ref="E333:E396" si="76">IF(B333&gt;$D$6*12,0,D333*C333)</f>
        <v>0</v>
      </c>
      <c r="F333" s="13">
        <f t="shared" ref="F333:F396" si="77">IF(B333&gt;$D$6*12,0,F332)</f>
        <v>0</v>
      </c>
      <c r="G333" s="13">
        <f t="shared" ref="G333:G396" si="78">IF(B333&gt;$D$6*12,0,C333+E333+F333)</f>
        <v>0</v>
      </c>
      <c r="I333" s="120">
        <f t="shared" si="70"/>
        <v>0</v>
      </c>
      <c r="J333" s="120">
        <f t="shared" si="71"/>
        <v>0</v>
      </c>
      <c r="L333" s="13">
        <f t="shared" si="72"/>
        <v>0</v>
      </c>
      <c r="M333" s="13">
        <f t="shared" si="73"/>
        <v>0</v>
      </c>
    </row>
    <row r="334" spans="2:19" x14ac:dyDescent="0.2">
      <c r="B334" s="2">
        <v>324</v>
      </c>
      <c r="C334" s="13">
        <f t="shared" si="74"/>
        <v>0</v>
      </c>
      <c r="D334" s="119">
        <f t="shared" si="75"/>
        <v>0</v>
      </c>
      <c r="E334" s="13">
        <f t="shared" si="76"/>
        <v>0</v>
      </c>
      <c r="F334" s="13">
        <f t="shared" si="77"/>
        <v>0</v>
      </c>
      <c r="G334" s="13">
        <f t="shared" si="78"/>
        <v>0</v>
      </c>
      <c r="I334" s="120">
        <f t="shared" si="70"/>
        <v>0</v>
      </c>
      <c r="J334" s="120">
        <f t="shared" si="71"/>
        <v>0</v>
      </c>
      <c r="L334" s="13">
        <f t="shared" si="72"/>
        <v>0</v>
      </c>
      <c r="M334" s="13">
        <f t="shared" si="73"/>
        <v>0</v>
      </c>
      <c r="R334" s="129">
        <f t="shared" ref="R334:S334" si="79">SUM(L323:L334)</f>
        <v>0</v>
      </c>
      <c r="S334" s="129">
        <f t="shared" si="79"/>
        <v>0</v>
      </c>
    </row>
    <row r="335" spans="2:19" x14ac:dyDescent="0.2">
      <c r="B335" s="2">
        <v>325</v>
      </c>
      <c r="C335" s="13">
        <f t="shared" si="74"/>
        <v>0</v>
      </c>
      <c r="D335" s="119">
        <f t="shared" si="75"/>
        <v>0</v>
      </c>
      <c r="E335" s="13">
        <f t="shared" si="76"/>
        <v>0</v>
      </c>
      <c r="F335" s="13">
        <f t="shared" si="77"/>
        <v>0</v>
      </c>
      <c r="G335" s="13">
        <f t="shared" si="78"/>
        <v>0</v>
      </c>
      <c r="I335" s="120">
        <f t="shared" si="70"/>
        <v>0</v>
      </c>
      <c r="J335" s="120">
        <f t="shared" si="71"/>
        <v>0</v>
      </c>
      <c r="L335" s="13">
        <f t="shared" si="72"/>
        <v>0</v>
      </c>
      <c r="M335" s="13">
        <f t="shared" si="73"/>
        <v>0</v>
      </c>
    </row>
    <row r="336" spans="2:19" x14ac:dyDescent="0.2">
      <c r="B336" s="2">
        <v>326</v>
      </c>
      <c r="C336" s="13">
        <f t="shared" si="74"/>
        <v>0</v>
      </c>
      <c r="D336" s="119">
        <f t="shared" si="75"/>
        <v>0</v>
      </c>
      <c r="E336" s="13">
        <f t="shared" si="76"/>
        <v>0</v>
      </c>
      <c r="F336" s="13">
        <f t="shared" si="77"/>
        <v>0</v>
      </c>
      <c r="G336" s="13">
        <f t="shared" si="78"/>
        <v>0</v>
      </c>
      <c r="I336" s="120">
        <f t="shared" si="70"/>
        <v>0</v>
      </c>
      <c r="J336" s="120">
        <f t="shared" si="71"/>
        <v>0</v>
      </c>
      <c r="L336" s="13">
        <f t="shared" si="72"/>
        <v>0</v>
      </c>
      <c r="M336" s="13">
        <f t="shared" si="73"/>
        <v>0</v>
      </c>
    </row>
    <row r="337" spans="2:19" x14ac:dyDescent="0.2">
      <c r="B337" s="2">
        <v>327</v>
      </c>
      <c r="C337" s="13">
        <f t="shared" si="74"/>
        <v>0</v>
      </c>
      <c r="D337" s="119">
        <f t="shared" si="75"/>
        <v>0</v>
      </c>
      <c r="E337" s="13">
        <f t="shared" si="76"/>
        <v>0</v>
      </c>
      <c r="F337" s="13">
        <f t="shared" si="77"/>
        <v>0</v>
      </c>
      <c r="G337" s="13">
        <f t="shared" si="78"/>
        <v>0</v>
      </c>
      <c r="I337" s="120">
        <f t="shared" si="70"/>
        <v>0</v>
      </c>
      <c r="J337" s="120">
        <f t="shared" si="71"/>
        <v>0</v>
      </c>
      <c r="L337" s="13">
        <f t="shared" si="72"/>
        <v>0</v>
      </c>
      <c r="M337" s="13">
        <f t="shared" si="73"/>
        <v>0</v>
      </c>
    </row>
    <row r="338" spans="2:19" x14ac:dyDescent="0.2">
      <c r="B338" s="2">
        <v>328</v>
      </c>
      <c r="C338" s="13">
        <f t="shared" si="74"/>
        <v>0</v>
      </c>
      <c r="D338" s="119">
        <f t="shared" si="75"/>
        <v>0</v>
      </c>
      <c r="E338" s="13">
        <f t="shared" si="76"/>
        <v>0</v>
      </c>
      <c r="F338" s="13">
        <f t="shared" si="77"/>
        <v>0</v>
      </c>
      <c r="G338" s="13">
        <f t="shared" si="78"/>
        <v>0</v>
      </c>
      <c r="I338" s="120">
        <f t="shared" si="70"/>
        <v>0</v>
      </c>
      <c r="J338" s="120">
        <f t="shared" si="71"/>
        <v>0</v>
      </c>
      <c r="L338" s="13">
        <f t="shared" si="72"/>
        <v>0</v>
      </c>
      <c r="M338" s="13">
        <f t="shared" si="73"/>
        <v>0</v>
      </c>
    </row>
    <row r="339" spans="2:19" x14ac:dyDescent="0.2">
      <c r="B339" s="2">
        <v>329</v>
      </c>
      <c r="C339" s="13">
        <f t="shared" si="74"/>
        <v>0</v>
      </c>
      <c r="D339" s="119">
        <f t="shared" si="75"/>
        <v>0</v>
      </c>
      <c r="E339" s="13">
        <f t="shared" si="76"/>
        <v>0</v>
      </c>
      <c r="F339" s="13">
        <f t="shared" si="77"/>
        <v>0</v>
      </c>
      <c r="G339" s="13">
        <f t="shared" si="78"/>
        <v>0</v>
      </c>
      <c r="I339" s="120">
        <f t="shared" si="70"/>
        <v>0</v>
      </c>
      <c r="J339" s="120">
        <f t="shared" si="71"/>
        <v>0</v>
      </c>
      <c r="L339" s="13">
        <f t="shared" si="72"/>
        <v>0</v>
      </c>
      <c r="M339" s="13">
        <f t="shared" si="73"/>
        <v>0</v>
      </c>
    </row>
    <row r="340" spans="2:19" x14ac:dyDescent="0.2">
      <c r="B340" s="2">
        <v>330</v>
      </c>
      <c r="C340" s="13">
        <f t="shared" si="74"/>
        <v>0</v>
      </c>
      <c r="D340" s="119">
        <f t="shared" si="75"/>
        <v>0</v>
      </c>
      <c r="E340" s="13">
        <f t="shared" si="76"/>
        <v>0</v>
      </c>
      <c r="F340" s="13">
        <f t="shared" si="77"/>
        <v>0</v>
      </c>
      <c r="G340" s="13">
        <f t="shared" si="78"/>
        <v>0</v>
      </c>
      <c r="I340" s="120">
        <f t="shared" si="70"/>
        <v>0</v>
      </c>
      <c r="J340" s="120">
        <f t="shared" si="71"/>
        <v>0</v>
      </c>
      <c r="L340" s="13">
        <f t="shared" si="72"/>
        <v>0</v>
      </c>
      <c r="M340" s="13">
        <f t="shared" si="73"/>
        <v>0</v>
      </c>
    </row>
    <row r="341" spans="2:19" x14ac:dyDescent="0.2">
      <c r="B341" s="2">
        <v>331</v>
      </c>
      <c r="C341" s="13">
        <f t="shared" si="74"/>
        <v>0</v>
      </c>
      <c r="D341" s="119">
        <f t="shared" si="75"/>
        <v>0</v>
      </c>
      <c r="E341" s="13">
        <f t="shared" si="76"/>
        <v>0</v>
      </c>
      <c r="F341" s="13">
        <f t="shared" si="77"/>
        <v>0</v>
      </c>
      <c r="G341" s="13">
        <f t="shared" si="78"/>
        <v>0</v>
      </c>
      <c r="I341" s="120">
        <f t="shared" si="70"/>
        <v>0</v>
      </c>
      <c r="J341" s="120">
        <f t="shared" si="71"/>
        <v>0</v>
      </c>
      <c r="L341" s="13">
        <f t="shared" si="72"/>
        <v>0</v>
      </c>
      <c r="M341" s="13">
        <f t="shared" si="73"/>
        <v>0</v>
      </c>
    </row>
    <row r="342" spans="2:19" x14ac:dyDescent="0.2">
      <c r="B342" s="2">
        <v>332</v>
      </c>
      <c r="C342" s="13">
        <f t="shared" si="74"/>
        <v>0</v>
      </c>
      <c r="D342" s="119">
        <f t="shared" si="75"/>
        <v>0</v>
      </c>
      <c r="E342" s="13">
        <f t="shared" si="76"/>
        <v>0</v>
      </c>
      <c r="F342" s="13">
        <f t="shared" si="77"/>
        <v>0</v>
      </c>
      <c r="G342" s="13">
        <f t="shared" si="78"/>
        <v>0</v>
      </c>
      <c r="I342" s="120">
        <f t="shared" si="70"/>
        <v>0</v>
      </c>
      <c r="J342" s="120">
        <f t="shared" si="71"/>
        <v>0</v>
      </c>
      <c r="L342" s="13">
        <f t="shared" si="72"/>
        <v>0</v>
      </c>
      <c r="M342" s="13">
        <f t="shared" si="73"/>
        <v>0</v>
      </c>
    </row>
    <row r="343" spans="2:19" x14ac:dyDescent="0.2">
      <c r="B343" s="2">
        <v>333</v>
      </c>
      <c r="C343" s="13">
        <f t="shared" si="74"/>
        <v>0</v>
      </c>
      <c r="D343" s="119">
        <f t="shared" si="75"/>
        <v>0</v>
      </c>
      <c r="E343" s="13">
        <f t="shared" si="76"/>
        <v>0</v>
      </c>
      <c r="F343" s="13">
        <f t="shared" si="77"/>
        <v>0</v>
      </c>
      <c r="G343" s="13">
        <f t="shared" si="78"/>
        <v>0</v>
      </c>
      <c r="I343" s="120">
        <f t="shared" si="70"/>
        <v>0</v>
      </c>
      <c r="J343" s="120">
        <f t="shared" si="71"/>
        <v>0</v>
      </c>
      <c r="L343" s="13">
        <f t="shared" si="72"/>
        <v>0</v>
      </c>
      <c r="M343" s="13">
        <f t="shared" si="73"/>
        <v>0</v>
      </c>
    </row>
    <row r="344" spans="2:19" x14ac:dyDescent="0.2">
      <c r="B344" s="2">
        <v>334</v>
      </c>
      <c r="C344" s="13">
        <f t="shared" si="74"/>
        <v>0</v>
      </c>
      <c r="D344" s="119">
        <f t="shared" si="75"/>
        <v>0</v>
      </c>
      <c r="E344" s="13">
        <f t="shared" si="76"/>
        <v>0</v>
      </c>
      <c r="F344" s="13">
        <f t="shared" si="77"/>
        <v>0</v>
      </c>
      <c r="G344" s="13">
        <f t="shared" si="78"/>
        <v>0</v>
      </c>
      <c r="I344" s="120">
        <f t="shared" si="70"/>
        <v>0</v>
      </c>
      <c r="J344" s="120">
        <f t="shared" si="71"/>
        <v>0</v>
      </c>
      <c r="L344" s="13">
        <f t="shared" si="72"/>
        <v>0</v>
      </c>
      <c r="M344" s="13">
        <f t="shared" si="73"/>
        <v>0</v>
      </c>
    </row>
    <row r="345" spans="2:19" x14ac:dyDescent="0.2">
      <c r="B345" s="2">
        <v>335</v>
      </c>
      <c r="C345" s="13">
        <f t="shared" si="74"/>
        <v>0</v>
      </c>
      <c r="D345" s="119">
        <f t="shared" si="75"/>
        <v>0</v>
      </c>
      <c r="E345" s="13">
        <f t="shared" si="76"/>
        <v>0</v>
      </c>
      <c r="F345" s="13">
        <f t="shared" si="77"/>
        <v>0</v>
      </c>
      <c r="G345" s="13">
        <f t="shared" si="78"/>
        <v>0</v>
      </c>
      <c r="I345" s="120">
        <f t="shared" si="70"/>
        <v>0</v>
      </c>
      <c r="J345" s="120">
        <f t="shared" si="71"/>
        <v>0</v>
      </c>
      <c r="L345" s="13">
        <f t="shared" si="72"/>
        <v>0</v>
      </c>
      <c r="M345" s="13">
        <f t="shared" si="73"/>
        <v>0</v>
      </c>
    </row>
    <row r="346" spans="2:19" x14ac:dyDescent="0.2">
      <c r="B346" s="2">
        <v>336</v>
      </c>
      <c r="C346" s="13">
        <f t="shared" si="74"/>
        <v>0</v>
      </c>
      <c r="D346" s="119">
        <f t="shared" si="75"/>
        <v>0</v>
      </c>
      <c r="E346" s="13">
        <f t="shared" si="76"/>
        <v>0</v>
      </c>
      <c r="F346" s="13">
        <f t="shared" si="77"/>
        <v>0</v>
      </c>
      <c r="G346" s="13">
        <f t="shared" si="78"/>
        <v>0</v>
      </c>
      <c r="I346" s="120">
        <f t="shared" si="70"/>
        <v>0</v>
      </c>
      <c r="J346" s="120">
        <f t="shared" si="71"/>
        <v>0</v>
      </c>
      <c r="L346" s="13">
        <f t="shared" si="72"/>
        <v>0</v>
      </c>
      <c r="M346" s="13">
        <f t="shared" si="73"/>
        <v>0</v>
      </c>
      <c r="R346" s="129">
        <f t="shared" ref="R346:S346" si="80">SUM(L335:L346)</f>
        <v>0</v>
      </c>
      <c r="S346" s="129">
        <f t="shared" si="80"/>
        <v>0</v>
      </c>
    </row>
    <row r="347" spans="2:19" x14ac:dyDescent="0.2">
      <c r="B347" s="2">
        <v>337</v>
      </c>
      <c r="C347" s="13">
        <f t="shared" si="74"/>
        <v>0</v>
      </c>
      <c r="D347" s="119">
        <f t="shared" si="75"/>
        <v>0</v>
      </c>
      <c r="E347" s="13">
        <f t="shared" si="76"/>
        <v>0</v>
      </c>
      <c r="F347" s="13">
        <f t="shared" si="77"/>
        <v>0</v>
      </c>
      <c r="G347" s="13">
        <f t="shared" si="78"/>
        <v>0</v>
      </c>
      <c r="I347" s="120">
        <f t="shared" si="70"/>
        <v>0</v>
      </c>
      <c r="J347" s="120">
        <f t="shared" si="71"/>
        <v>0</v>
      </c>
      <c r="L347" s="13">
        <f t="shared" si="72"/>
        <v>0</v>
      </c>
      <c r="M347" s="13">
        <f t="shared" si="73"/>
        <v>0</v>
      </c>
    </row>
    <row r="348" spans="2:19" x14ac:dyDescent="0.2">
      <c r="B348" s="2">
        <v>338</v>
      </c>
      <c r="C348" s="13">
        <f t="shared" si="74"/>
        <v>0</v>
      </c>
      <c r="D348" s="119">
        <f t="shared" si="75"/>
        <v>0</v>
      </c>
      <c r="E348" s="13">
        <f t="shared" si="76"/>
        <v>0</v>
      </c>
      <c r="F348" s="13">
        <f t="shared" si="77"/>
        <v>0</v>
      </c>
      <c r="G348" s="13">
        <f t="shared" si="78"/>
        <v>0</v>
      </c>
      <c r="I348" s="120">
        <f t="shared" si="70"/>
        <v>0</v>
      </c>
      <c r="J348" s="120">
        <f t="shared" si="71"/>
        <v>0</v>
      </c>
      <c r="L348" s="13">
        <f t="shared" si="72"/>
        <v>0</v>
      </c>
      <c r="M348" s="13">
        <f t="shared" si="73"/>
        <v>0</v>
      </c>
    </row>
    <row r="349" spans="2:19" x14ac:dyDescent="0.2">
      <c r="B349" s="2">
        <v>339</v>
      </c>
      <c r="C349" s="13">
        <f t="shared" si="74"/>
        <v>0</v>
      </c>
      <c r="D349" s="119">
        <f t="shared" si="75"/>
        <v>0</v>
      </c>
      <c r="E349" s="13">
        <f t="shared" si="76"/>
        <v>0</v>
      </c>
      <c r="F349" s="13">
        <f t="shared" si="77"/>
        <v>0</v>
      </c>
      <c r="G349" s="13">
        <f t="shared" si="78"/>
        <v>0</v>
      </c>
      <c r="I349" s="120">
        <f t="shared" si="70"/>
        <v>0</v>
      </c>
      <c r="J349" s="120">
        <f t="shared" si="71"/>
        <v>0</v>
      </c>
      <c r="L349" s="13">
        <f t="shared" si="72"/>
        <v>0</v>
      </c>
      <c r="M349" s="13">
        <f t="shared" si="73"/>
        <v>0</v>
      </c>
    </row>
    <row r="350" spans="2:19" x14ac:dyDescent="0.2">
      <c r="B350" s="2">
        <v>340</v>
      </c>
      <c r="C350" s="13">
        <f t="shared" si="74"/>
        <v>0</v>
      </c>
      <c r="D350" s="119">
        <f t="shared" si="75"/>
        <v>0</v>
      </c>
      <c r="E350" s="13">
        <f t="shared" si="76"/>
        <v>0</v>
      </c>
      <c r="F350" s="13">
        <f t="shared" si="77"/>
        <v>0</v>
      </c>
      <c r="G350" s="13">
        <f t="shared" si="78"/>
        <v>0</v>
      </c>
      <c r="I350" s="120">
        <f t="shared" si="70"/>
        <v>0</v>
      </c>
      <c r="J350" s="120">
        <f t="shared" si="71"/>
        <v>0</v>
      </c>
      <c r="L350" s="13">
        <f t="shared" si="72"/>
        <v>0</v>
      </c>
      <c r="M350" s="13">
        <f t="shared" si="73"/>
        <v>0</v>
      </c>
    </row>
    <row r="351" spans="2:19" x14ac:dyDescent="0.2">
      <c r="B351" s="2">
        <v>341</v>
      </c>
      <c r="C351" s="13">
        <f t="shared" si="74"/>
        <v>0</v>
      </c>
      <c r="D351" s="119">
        <f t="shared" si="75"/>
        <v>0</v>
      </c>
      <c r="E351" s="13">
        <f t="shared" si="76"/>
        <v>0</v>
      </c>
      <c r="F351" s="13">
        <f t="shared" si="77"/>
        <v>0</v>
      </c>
      <c r="G351" s="13">
        <f t="shared" si="78"/>
        <v>0</v>
      </c>
      <c r="I351" s="120">
        <f t="shared" si="70"/>
        <v>0</v>
      </c>
      <c r="J351" s="120">
        <f t="shared" si="71"/>
        <v>0</v>
      </c>
      <c r="L351" s="13">
        <f t="shared" si="72"/>
        <v>0</v>
      </c>
      <c r="M351" s="13">
        <f t="shared" si="73"/>
        <v>0</v>
      </c>
    </row>
    <row r="352" spans="2:19" x14ac:dyDescent="0.2">
      <c r="B352" s="2">
        <v>342</v>
      </c>
      <c r="C352" s="13">
        <f t="shared" si="74"/>
        <v>0</v>
      </c>
      <c r="D352" s="119">
        <f t="shared" si="75"/>
        <v>0</v>
      </c>
      <c r="E352" s="13">
        <f t="shared" si="76"/>
        <v>0</v>
      </c>
      <c r="F352" s="13">
        <f t="shared" si="77"/>
        <v>0</v>
      </c>
      <c r="G352" s="13">
        <f t="shared" si="78"/>
        <v>0</v>
      </c>
      <c r="I352" s="120">
        <f t="shared" si="70"/>
        <v>0</v>
      </c>
      <c r="J352" s="120">
        <f t="shared" si="71"/>
        <v>0</v>
      </c>
      <c r="L352" s="13">
        <f t="shared" si="72"/>
        <v>0</v>
      </c>
      <c r="M352" s="13">
        <f t="shared" si="73"/>
        <v>0</v>
      </c>
    </row>
    <row r="353" spans="2:19" x14ac:dyDescent="0.2">
      <c r="B353" s="2">
        <v>343</v>
      </c>
      <c r="C353" s="13">
        <f t="shared" si="74"/>
        <v>0</v>
      </c>
      <c r="D353" s="119">
        <f t="shared" si="75"/>
        <v>0</v>
      </c>
      <c r="E353" s="13">
        <f t="shared" si="76"/>
        <v>0</v>
      </c>
      <c r="F353" s="13">
        <f t="shared" si="77"/>
        <v>0</v>
      </c>
      <c r="G353" s="13">
        <f t="shared" si="78"/>
        <v>0</v>
      </c>
      <c r="I353" s="120">
        <f t="shared" si="70"/>
        <v>0</v>
      </c>
      <c r="J353" s="120">
        <f t="shared" si="71"/>
        <v>0</v>
      </c>
      <c r="L353" s="13">
        <f t="shared" si="72"/>
        <v>0</v>
      </c>
      <c r="M353" s="13">
        <f t="shared" si="73"/>
        <v>0</v>
      </c>
    </row>
    <row r="354" spans="2:19" x14ac:dyDescent="0.2">
      <c r="B354" s="2">
        <v>344</v>
      </c>
      <c r="C354" s="13">
        <f t="shared" si="74"/>
        <v>0</v>
      </c>
      <c r="D354" s="119">
        <f t="shared" si="75"/>
        <v>0</v>
      </c>
      <c r="E354" s="13">
        <f t="shared" si="76"/>
        <v>0</v>
      </c>
      <c r="F354" s="13">
        <f t="shared" si="77"/>
        <v>0</v>
      </c>
      <c r="G354" s="13">
        <f t="shared" si="78"/>
        <v>0</v>
      </c>
      <c r="I354" s="120">
        <f t="shared" si="70"/>
        <v>0</v>
      </c>
      <c r="J354" s="120">
        <f t="shared" si="71"/>
        <v>0</v>
      </c>
      <c r="L354" s="13">
        <f t="shared" si="72"/>
        <v>0</v>
      </c>
      <c r="M354" s="13">
        <f t="shared" si="73"/>
        <v>0</v>
      </c>
    </row>
    <row r="355" spans="2:19" x14ac:dyDescent="0.2">
      <c r="B355" s="2">
        <v>345</v>
      </c>
      <c r="C355" s="13">
        <f t="shared" si="74"/>
        <v>0</v>
      </c>
      <c r="D355" s="119">
        <f>IF(B355&gt;$D$6*12,0,D354)</f>
        <v>0</v>
      </c>
      <c r="E355" s="13">
        <f>IF(B355&gt;$D$6*12,0,D355*C355)</f>
        <v>0</v>
      </c>
      <c r="F355" s="13">
        <f t="shared" si="77"/>
        <v>0</v>
      </c>
      <c r="G355" s="13">
        <f t="shared" si="78"/>
        <v>0</v>
      </c>
      <c r="I355" s="120">
        <f t="shared" si="70"/>
        <v>0</v>
      </c>
      <c r="J355" s="120">
        <f t="shared" si="71"/>
        <v>0</v>
      </c>
      <c r="L355" s="13">
        <f t="shared" si="72"/>
        <v>0</v>
      </c>
      <c r="M355" s="13">
        <f t="shared" si="73"/>
        <v>0</v>
      </c>
    </row>
    <row r="356" spans="2:19" x14ac:dyDescent="0.2">
      <c r="B356" s="2">
        <v>346</v>
      </c>
      <c r="C356" s="13">
        <f t="shared" si="74"/>
        <v>0</v>
      </c>
      <c r="D356" s="119">
        <f t="shared" si="75"/>
        <v>0</v>
      </c>
      <c r="E356" s="13">
        <f t="shared" si="76"/>
        <v>0</v>
      </c>
      <c r="F356" s="13">
        <f t="shared" si="77"/>
        <v>0</v>
      </c>
      <c r="G356" s="13">
        <f t="shared" si="78"/>
        <v>0</v>
      </c>
      <c r="I356" s="120">
        <f t="shared" si="70"/>
        <v>0</v>
      </c>
      <c r="J356" s="120">
        <f t="shared" si="71"/>
        <v>0</v>
      </c>
      <c r="L356" s="13">
        <f t="shared" si="72"/>
        <v>0</v>
      </c>
      <c r="M356" s="13">
        <f t="shared" si="73"/>
        <v>0</v>
      </c>
    </row>
    <row r="357" spans="2:19" x14ac:dyDescent="0.2">
      <c r="B357" s="2">
        <v>347</v>
      </c>
      <c r="C357" s="13">
        <f t="shared" si="74"/>
        <v>0</v>
      </c>
      <c r="D357" s="119">
        <f t="shared" si="75"/>
        <v>0</v>
      </c>
      <c r="E357" s="13">
        <f t="shared" si="76"/>
        <v>0</v>
      </c>
      <c r="F357" s="13">
        <f t="shared" si="77"/>
        <v>0</v>
      </c>
      <c r="G357" s="13">
        <f t="shared" si="78"/>
        <v>0</v>
      </c>
      <c r="I357" s="120">
        <f t="shared" si="70"/>
        <v>0</v>
      </c>
      <c r="J357" s="120">
        <f t="shared" si="71"/>
        <v>0</v>
      </c>
      <c r="L357" s="13">
        <f t="shared" si="72"/>
        <v>0</v>
      </c>
      <c r="M357" s="13">
        <f t="shared" si="73"/>
        <v>0</v>
      </c>
    </row>
    <row r="358" spans="2:19" x14ac:dyDescent="0.2">
      <c r="B358" s="2">
        <v>348</v>
      </c>
      <c r="C358" s="13">
        <f t="shared" si="74"/>
        <v>0</v>
      </c>
      <c r="D358" s="119">
        <f t="shared" si="75"/>
        <v>0</v>
      </c>
      <c r="E358" s="13">
        <f t="shared" si="76"/>
        <v>0</v>
      </c>
      <c r="F358" s="13">
        <f t="shared" si="77"/>
        <v>0</v>
      </c>
      <c r="G358" s="13">
        <f t="shared" si="78"/>
        <v>0</v>
      </c>
      <c r="I358" s="120">
        <f t="shared" si="70"/>
        <v>0</v>
      </c>
      <c r="J358" s="120">
        <f t="shared" si="71"/>
        <v>0</v>
      </c>
      <c r="L358" s="13">
        <f t="shared" si="72"/>
        <v>0</v>
      </c>
      <c r="M358" s="13">
        <f t="shared" si="73"/>
        <v>0</v>
      </c>
      <c r="R358" s="129">
        <f t="shared" ref="R358:S358" si="81">SUM(L347:L358)</f>
        <v>0</v>
      </c>
      <c r="S358" s="129">
        <f t="shared" si="81"/>
        <v>0</v>
      </c>
    </row>
    <row r="359" spans="2:19" x14ac:dyDescent="0.2">
      <c r="B359" s="2">
        <v>349</v>
      </c>
      <c r="C359" s="13">
        <f t="shared" si="74"/>
        <v>0</v>
      </c>
      <c r="D359" s="119">
        <f t="shared" si="75"/>
        <v>0</v>
      </c>
      <c r="E359" s="13">
        <f t="shared" si="76"/>
        <v>0</v>
      </c>
      <c r="F359" s="13">
        <f t="shared" si="77"/>
        <v>0</v>
      </c>
      <c r="G359" s="13">
        <f t="shared" si="78"/>
        <v>0</v>
      </c>
      <c r="I359" s="120">
        <f t="shared" si="70"/>
        <v>0</v>
      </c>
      <c r="J359" s="120">
        <f t="shared" si="71"/>
        <v>0</v>
      </c>
      <c r="L359" s="13">
        <f t="shared" si="72"/>
        <v>0</v>
      </c>
      <c r="M359" s="13">
        <f t="shared" si="73"/>
        <v>0</v>
      </c>
    </row>
    <row r="360" spans="2:19" x14ac:dyDescent="0.2">
      <c r="B360" s="2">
        <v>350</v>
      </c>
      <c r="C360" s="13">
        <f t="shared" si="74"/>
        <v>0</v>
      </c>
      <c r="D360" s="119">
        <f t="shared" si="75"/>
        <v>0</v>
      </c>
      <c r="E360" s="13">
        <f t="shared" si="76"/>
        <v>0</v>
      </c>
      <c r="F360" s="13">
        <f t="shared" si="77"/>
        <v>0</v>
      </c>
      <c r="G360" s="13">
        <f t="shared" si="78"/>
        <v>0</v>
      </c>
      <c r="I360" s="120">
        <f t="shared" si="70"/>
        <v>0</v>
      </c>
      <c r="J360" s="120">
        <f t="shared" si="71"/>
        <v>0</v>
      </c>
      <c r="L360" s="13">
        <f t="shared" si="72"/>
        <v>0</v>
      </c>
      <c r="M360" s="13">
        <f t="shared" si="73"/>
        <v>0</v>
      </c>
    </row>
    <row r="361" spans="2:19" x14ac:dyDescent="0.2">
      <c r="B361" s="2">
        <v>351</v>
      </c>
      <c r="C361" s="13">
        <f t="shared" si="74"/>
        <v>0</v>
      </c>
      <c r="D361" s="119">
        <f t="shared" si="75"/>
        <v>0</v>
      </c>
      <c r="E361" s="13">
        <f t="shared" si="76"/>
        <v>0</v>
      </c>
      <c r="F361" s="13">
        <f t="shared" si="77"/>
        <v>0</v>
      </c>
      <c r="G361" s="13">
        <f t="shared" si="78"/>
        <v>0</v>
      </c>
      <c r="I361" s="120">
        <f t="shared" si="70"/>
        <v>0</v>
      </c>
      <c r="J361" s="120">
        <f t="shared" si="71"/>
        <v>0</v>
      </c>
      <c r="L361" s="13">
        <f t="shared" si="72"/>
        <v>0</v>
      </c>
      <c r="M361" s="13">
        <f t="shared" si="73"/>
        <v>0</v>
      </c>
    </row>
    <row r="362" spans="2:19" x14ac:dyDescent="0.2">
      <c r="B362" s="2">
        <v>352</v>
      </c>
      <c r="C362" s="13">
        <f t="shared" si="74"/>
        <v>0</v>
      </c>
      <c r="D362" s="119">
        <f t="shared" si="75"/>
        <v>0</v>
      </c>
      <c r="E362" s="13">
        <f t="shared" si="76"/>
        <v>0</v>
      </c>
      <c r="F362" s="13">
        <f t="shared" si="77"/>
        <v>0</v>
      </c>
      <c r="G362" s="13">
        <f t="shared" si="78"/>
        <v>0</v>
      </c>
      <c r="I362" s="120">
        <f t="shared" si="70"/>
        <v>0</v>
      </c>
      <c r="J362" s="120">
        <f t="shared" si="71"/>
        <v>0</v>
      </c>
      <c r="L362" s="13">
        <f t="shared" si="72"/>
        <v>0</v>
      </c>
      <c r="M362" s="13">
        <f t="shared" si="73"/>
        <v>0</v>
      </c>
    </row>
    <row r="363" spans="2:19" x14ac:dyDescent="0.2">
      <c r="B363" s="2">
        <v>353</v>
      </c>
      <c r="C363" s="13">
        <f t="shared" si="74"/>
        <v>0</v>
      </c>
      <c r="D363" s="119">
        <f t="shared" si="75"/>
        <v>0</v>
      </c>
      <c r="E363" s="13">
        <f t="shared" si="76"/>
        <v>0</v>
      </c>
      <c r="F363" s="13">
        <f t="shared" si="77"/>
        <v>0</v>
      </c>
      <c r="G363" s="13">
        <f t="shared" si="78"/>
        <v>0</v>
      </c>
      <c r="I363" s="120">
        <f t="shared" si="70"/>
        <v>0</v>
      </c>
      <c r="J363" s="120">
        <f t="shared" si="71"/>
        <v>0</v>
      </c>
      <c r="L363" s="13">
        <f t="shared" si="72"/>
        <v>0</v>
      </c>
      <c r="M363" s="13">
        <f t="shared" si="73"/>
        <v>0</v>
      </c>
    </row>
    <row r="364" spans="2:19" x14ac:dyDescent="0.2">
      <c r="B364" s="2">
        <v>354</v>
      </c>
      <c r="C364" s="13">
        <f t="shared" si="74"/>
        <v>0</v>
      </c>
      <c r="D364" s="119">
        <f t="shared" si="75"/>
        <v>0</v>
      </c>
      <c r="E364" s="13">
        <f t="shared" si="76"/>
        <v>0</v>
      </c>
      <c r="F364" s="13">
        <f t="shared" si="77"/>
        <v>0</v>
      </c>
      <c r="G364" s="13">
        <f t="shared" si="78"/>
        <v>0</v>
      </c>
      <c r="I364" s="120">
        <f t="shared" si="70"/>
        <v>0</v>
      </c>
      <c r="J364" s="120">
        <f t="shared" si="71"/>
        <v>0</v>
      </c>
      <c r="L364" s="13">
        <f t="shared" si="72"/>
        <v>0</v>
      </c>
      <c r="M364" s="13">
        <f t="shared" si="73"/>
        <v>0</v>
      </c>
    </row>
    <row r="365" spans="2:19" x14ac:dyDescent="0.2">
      <c r="B365" s="2">
        <v>355</v>
      </c>
      <c r="C365" s="13">
        <f t="shared" si="74"/>
        <v>0</v>
      </c>
      <c r="D365" s="119">
        <f t="shared" si="75"/>
        <v>0</v>
      </c>
      <c r="E365" s="13">
        <f t="shared" si="76"/>
        <v>0</v>
      </c>
      <c r="F365" s="13">
        <f t="shared" si="77"/>
        <v>0</v>
      </c>
      <c r="G365" s="13">
        <f t="shared" si="78"/>
        <v>0</v>
      </c>
      <c r="I365" s="120">
        <f t="shared" si="70"/>
        <v>0</v>
      </c>
      <c r="J365" s="120">
        <f t="shared" si="71"/>
        <v>0</v>
      </c>
      <c r="L365" s="13">
        <f t="shared" si="72"/>
        <v>0</v>
      </c>
      <c r="M365" s="13">
        <f t="shared" si="73"/>
        <v>0</v>
      </c>
    </row>
    <row r="366" spans="2:19" x14ac:dyDescent="0.2">
      <c r="B366" s="2">
        <v>356</v>
      </c>
      <c r="C366" s="13">
        <f t="shared" si="74"/>
        <v>0</v>
      </c>
      <c r="D366" s="119">
        <f t="shared" si="75"/>
        <v>0</v>
      </c>
      <c r="E366" s="13">
        <f t="shared" si="76"/>
        <v>0</v>
      </c>
      <c r="F366" s="13">
        <f t="shared" si="77"/>
        <v>0</v>
      </c>
      <c r="G366" s="13">
        <f t="shared" si="78"/>
        <v>0</v>
      </c>
      <c r="I366" s="120">
        <f t="shared" si="70"/>
        <v>0</v>
      </c>
      <c r="J366" s="120">
        <f t="shared" si="71"/>
        <v>0</v>
      </c>
      <c r="L366" s="13">
        <f t="shared" si="72"/>
        <v>0</v>
      </c>
      <c r="M366" s="13">
        <f t="shared" si="73"/>
        <v>0</v>
      </c>
    </row>
    <row r="367" spans="2:19" x14ac:dyDescent="0.2">
      <c r="B367" s="2">
        <v>357</v>
      </c>
      <c r="C367" s="13">
        <f t="shared" si="74"/>
        <v>0</v>
      </c>
      <c r="D367" s="119">
        <f t="shared" si="75"/>
        <v>0</v>
      </c>
      <c r="E367" s="13">
        <f t="shared" si="76"/>
        <v>0</v>
      </c>
      <c r="F367" s="13">
        <f t="shared" si="77"/>
        <v>0</v>
      </c>
      <c r="G367" s="13">
        <f t="shared" si="78"/>
        <v>0</v>
      </c>
      <c r="I367" s="120">
        <f t="shared" si="70"/>
        <v>0</v>
      </c>
      <c r="J367" s="120">
        <f t="shared" si="71"/>
        <v>0</v>
      </c>
      <c r="L367" s="13">
        <f t="shared" si="72"/>
        <v>0</v>
      </c>
      <c r="M367" s="13">
        <f t="shared" si="73"/>
        <v>0</v>
      </c>
    </row>
    <row r="368" spans="2:19" x14ac:dyDescent="0.2">
      <c r="B368" s="2">
        <v>358</v>
      </c>
      <c r="C368" s="13">
        <f t="shared" si="74"/>
        <v>0</v>
      </c>
      <c r="D368" s="119">
        <f t="shared" si="75"/>
        <v>0</v>
      </c>
      <c r="E368" s="13">
        <f t="shared" si="76"/>
        <v>0</v>
      </c>
      <c r="F368" s="13">
        <f t="shared" si="77"/>
        <v>0</v>
      </c>
      <c r="G368" s="13">
        <f t="shared" si="78"/>
        <v>0</v>
      </c>
      <c r="I368" s="120">
        <f t="shared" si="70"/>
        <v>0</v>
      </c>
      <c r="J368" s="120">
        <f t="shared" si="71"/>
        <v>0</v>
      </c>
      <c r="L368" s="13">
        <f t="shared" si="72"/>
        <v>0</v>
      </c>
      <c r="M368" s="13">
        <f t="shared" si="73"/>
        <v>0</v>
      </c>
    </row>
    <row r="369" spans="2:19" x14ac:dyDescent="0.2">
      <c r="B369" s="2">
        <v>359</v>
      </c>
      <c r="C369" s="13">
        <f t="shared" si="74"/>
        <v>0</v>
      </c>
      <c r="D369" s="119">
        <f t="shared" si="75"/>
        <v>0</v>
      </c>
      <c r="E369" s="13">
        <f t="shared" si="76"/>
        <v>0</v>
      </c>
      <c r="F369" s="13">
        <f t="shared" si="77"/>
        <v>0</v>
      </c>
      <c r="G369" s="13">
        <f t="shared" si="78"/>
        <v>0</v>
      </c>
      <c r="I369" s="120">
        <f t="shared" si="70"/>
        <v>0</v>
      </c>
      <c r="J369" s="120">
        <f t="shared" si="71"/>
        <v>0</v>
      </c>
      <c r="L369" s="13">
        <f t="shared" si="72"/>
        <v>0</v>
      </c>
      <c r="M369" s="13">
        <f t="shared" si="73"/>
        <v>0</v>
      </c>
    </row>
    <row r="370" spans="2:19" x14ac:dyDescent="0.2">
      <c r="B370" s="2">
        <v>360</v>
      </c>
      <c r="C370" s="13">
        <f t="shared" si="74"/>
        <v>0</v>
      </c>
      <c r="D370" s="119">
        <f t="shared" si="75"/>
        <v>0</v>
      </c>
      <c r="E370" s="13">
        <f t="shared" si="76"/>
        <v>0</v>
      </c>
      <c r="F370" s="13">
        <f t="shared" si="77"/>
        <v>0</v>
      </c>
      <c r="G370" s="13">
        <f t="shared" si="78"/>
        <v>0</v>
      </c>
      <c r="I370" s="120">
        <f t="shared" si="70"/>
        <v>0</v>
      </c>
      <c r="J370" s="120">
        <f>IF(B370&gt;$D$6*12,0,M370/(L370+M370))</f>
        <v>0</v>
      </c>
      <c r="L370" s="13">
        <f t="shared" si="72"/>
        <v>0</v>
      </c>
      <c r="M370" s="13">
        <f t="shared" si="73"/>
        <v>0</v>
      </c>
      <c r="R370" s="129">
        <f t="shared" ref="R370:S370" si="82">SUM(L359:L370)</f>
        <v>0</v>
      </c>
      <c r="S370" s="129">
        <f t="shared" si="82"/>
        <v>0</v>
      </c>
    </row>
    <row r="371" spans="2:19" x14ac:dyDescent="0.2">
      <c r="B371" s="2">
        <v>361</v>
      </c>
      <c r="C371" s="13">
        <f t="shared" si="74"/>
        <v>0</v>
      </c>
      <c r="D371" s="119">
        <f t="shared" si="75"/>
        <v>0</v>
      </c>
      <c r="E371" s="13">
        <f t="shared" si="76"/>
        <v>0</v>
      </c>
      <c r="F371" s="13">
        <f t="shared" si="77"/>
        <v>0</v>
      </c>
      <c r="G371" s="13">
        <f t="shared" si="78"/>
        <v>0</v>
      </c>
      <c r="I371" s="120">
        <f t="shared" si="70"/>
        <v>0</v>
      </c>
      <c r="J371" s="120">
        <f t="shared" si="71"/>
        <v>0</v>
      </c>
      <c r="L371" s="13">
        <f t="shared" si="72"/>
        <v>0</v>
      </c>
      <c r="M371" s="13">
        <f t="shared" si="73"/>
        <v>0</v>
      </c>
    </row>
    <row r="372" spans="2:19" x14ac:dyDescent="0.2">
      <c r="B372" s="2">
        <v>362</v>
      </c>
      <c r="C372" s="13">
        <f t="shared" si="74"/>
        <v>0</v>
      </c>
      <c r="D372" s="119">
        <f t="shared" si="75"/>
        <v>0</v>
      </c>
      <c r="E372" s="13">
        <f t="shared" si="76"/>
        <v>0</v>
      </c>
      <c r="F372" s="13">
        <f t="shared" si="77"/>
        <v>0</v>
      </c>
      <c r="G372" s="13">
        <f t="shared" si="78"/>
        <v>0</v>
      </c>
      <c r="I372" s="120">
        <f t="shared" si="70"/>
        <v>0</v>
      </c>
      <c r="J372" s="120">
        <f t="shared" si="71"/>
        <v>0</v>
      </c>
      <c r="L372" s="13">
        <f t="shared" si="72"/>
        <v>0</v>
      </c>
      <c r="M372" s="13">
        <f t="shared" si="73"/>
        <v>0</v>
      </c>
    </row>
    <row r="373" spans="2:19" x14ac:dyDescent="0.2">
      <c r="B373" s="2">
        <v>363</v>
      </c>
      <c r="C373" s="13">
        <f t="shared" si="74"/>
        <v>0</v>
      </c>
      <c r="D373" s="119">
        <f t="shared" si="75"/>
        <v>0</v>
      </c>
      <c r="E373" s="13">
        <f t="shared" si="76"/>
        <v>0</v>
      </c>
      <c r="F373" s="13">
        <f t="shared" si="77"/>
        <v>0</v>
      </c>
      <c r="G373" s="13">
        <f t="shared" si="78"/>
        <v>0</v>
      </c>
      <c r="I373" s="120">
        <f t="shared" si="70"/>
        <v>0</v>
      </c>
      <c r="J373" s="120">
        <f t="shared" si="71"/>
        <v>0</v>
      </c>
      <c r="L373" s="13">
        <f t="shared" si="72"/>
        <v>0</v>
      </c>
      <c r="M373" s="13">
        <f t="shared" si="73"/>
        <v>0</v>
      </c>
    </row>
    <row r="374" spans="2:19" x14ac:dyDescent="0.2">
      <c r="B374" s="2">
        <v>364</v>
      </c>
      <c r="C374" s="13">
        <f t="shared" si="74"/>
        <v>0</v>
      </c>
      <c r="D374" s="119">
        <f t="shared" si="75"/>
        <v>0</v>
      </c>
      <c r="E374" s="13">
        <f t="shared" si="76"/>
        <v>0</v>
      </c>
      <c r="F374" s="13">
        <f t="shared" si="77"/>
        <v>0</v>
      </c>
      <c r="G374" s="13">
        <f t="shared" si="78"/>
        <v>0</v>
      </c>
      <c r="I374" s="120">
        <f t="shared" si="70"/>
        <v>0</v>
      </c>
      <c r="J374" s="120">
        <f t="shared" si="71"/>
        <v>0</v>
      </c>
      <c r="L374" s="13">
        <f t="shared" si="72"/>
        <v>0</v>
      </c>
      <c r="M374" s="13">
        <f t="shared" si="73"/>
        <v>0</v>
      </c>
    </row>
    <row r="375" spans="2:19" x14ac:dyDescent="0.2">
      <c r="B375" s="2">
        <v>365</v>
      </c>
      <c r="C375" s="13">
        <f t="shared" si="74"/>
        <v>0</v>
      </c>
      <c r="D375" s="119">
        <f t="shared" si="75"/>
        <v>0</v>
      </c>
      <c r="E375" s="13">
        <f t="shared" si="76"/>
        <v>0</v>
      </c>
      <c r="F375" s="13">
        <f t="shared" si="77"/>
        <v>0</v>
      </c>
      <c r="G375" s="13">
        <f t="shared" si="78"/>
        <v>0</v>
      </c>
      <c r="I375" s="120">
        <f t="shared" si="70"/>
        <v>0</v>
      </c>
      <c r="J375" s="120">
        <f t="shared" si="71"/>
        <v>0</v>
      </c>
      <c r="L375" s="13">
        <f t="shared" si="72"/>
        <v>0</v>
      </c>
      <c r="M375" s="13">
        <f t="shared" si="73"/>
        <v>0</v>
      </c>
    </row>
    <row r="376" spans="2:19" x14ac:dyDescent="0.2">
      <c r="B376" s="2">
        <v>366</v>
      </c>
      <c r="C376" s="13">
        <f t="shared" si="74"/>
        <v>0</v>
      </c>
      <c r="D376" s="119">
        <f t="shared" si="75"/>
        <v>0</v>
      </c>
      <c r="E376" s="13">
        <f t="shared" si="76"/>
        <v>0</v>
      </c>
      <c r="F376" s="13">
        <f t="shared" si="77"/>
        <v>0</v>
      </c>
      <c r="G376" s="13">
        <f t="shared" si="78"/>
        <v>0</v>
      </c>
      <c r="I376" s="120">
        <f t="shared" si="70"/>
        <v>0</v>
      </c>
      <c r="J376" s="120">
        <f t="shared" si="71"/>
        <v>0</v>
      </c>
      <c r="L376" s="13">
        <f t="shared" si="72"/>
        <v>0</v>
      </c>
      <c r="M376" s="13">
        <f t="shared" si="73"/>
        <v>0</v>
      </c>
    </row>
    <row r="377" spans="2:19" x14ac:dyDescent="0.2">
      <c r="B377" s="2">
        <v>367</v>
      </c>
      <c r="C377" s="13">
        <f t="shared" si="74"/>
        <v>0</v>
      </c>
      <c r="D377" s="119">
        <f t="shared" si="75"/>
        <v>0</v>
      </c>
      <c r="E377" s="13">
        <f t="shared" si="76"/>
        <v>0</v>
      </c>
      <c r="F377" s="13">
        <f t="shared" si="77"/>
        <v>0</v>
      </c>
      <c r="G377" s="13">
        <f t="shared" si="78"/>
        <v>0</v>
      </c>
      <c r="I377" s="120">
        <f t="shared" si="70"/>
        <v>0</v>
      </c>
      <c r="J377" s="120">
        <f t="shared" si="71"/>
        <v>0</v>
      </c>
      <c r="L377" s="13">
        <f t="shared" si="72"/>
        <v>0</v>
      </c>
      <c r="M377" s="13">
        <f t="shared" si="73"/>
        <v>0</v>
      </c>
    </row>
    <row r="378" spans="2:19" x14ac:dyDescent="0.2">
      <c r="B378" s="2">
        <v>368</v>
      </c>
      <c r="C378" s="13">
        <f t="shared" si="74"/>
        <v>0</v>
      </c>
      <c r="D378" s="119">
        <f t="shared" si="75"/>
        <v>0</v>
      </c>
      <c r="E378" s="13">
        <f t="shared" si="76"/>
        <v>0</v>
      </c>
      <c r="F378" s="13">
        <f t="shared" si="77"/>
        <v>0</v>
      </c>
      <c r="G378" s="13">
        <f t="shared" si="78"/>
        <v>0</v>
      </c>
      <c r="I378" s="120">
        <f t="shared" si="70"/>
        <v>0</v>
      </c>
      <c r="J378" s="120">
        <f t="shared" si="71"/>
        <v>0</v>
      </c>
      <c r="L378" s="13">
        <f t="shared" si="72"/>
        <v>0</v>
      </c>
      <c r="M378" s="13">
        <f t="shared" si="73"/>
        <v>0</v>
      </c>
    </row>
    <row r="379" spans="2:19" x14ac:dyDescent="0.2">
      <c r="B379" s="2">
        <v>369</v>
      </c>
      <c r="C379" s="13">
        <f t="shared" si="74"/>
        <v>0</v>
      </c>
      <c r="D379" s="119">
        <f t="shared" si="75"/>
        <v>0</v>
      </c>
      <c r="E379" s="13">
        <f t="shared" si="76"/>
        <v>0</v>
      </c>
      <c r="F379" s="13">
        <f t="shared" si="77"/>
        <v>0</v>
      </c>
      <c r="G379" s="13">
        <f t="shared" si="78"/>
        <v>0</v>
      </c>
      <c r="I379" s="120">
        <f t="shared" si="70"/>
        <v>0</v>
      </c>
      <c r="J379" s="120">
        <f t="shared" si="71"/>
        <v>0</v>
      </c>
      <c r="L379" s="13">
        <f t="shared" si="72"/>
        <v>0</v>
      </c>
      <c r="M379" s="13">
        <f t="shared" si="73"/>
        <v>0</v>
      </c>
    </row>
    <row r="380" spans="2:19" x14ac:dyDescent="0.2">
      <c r="B380" s="2">
        <v>370</v>
      </c>
      <c r="C380" s="13">
        <f t="shared" si="74"/>
        <v>0</v>
      </c>
      <c r="D380" s="119">
        <f t="shared" si="75"/>
        <v>0</v>
      </c>
      <c r="E380" s="13">
        <f t="shared" si="76"/>
        <v>0</v>
      </c>
      <c r="F380" s="13">
        <f t="shared" si="77"/>
        <v>0</v>
      </c>
      <c r="G380" s="13">
        <f t="shared" si="78"/>
        <v>0</v>
      </c>
      <c r="I380" s="120">
        <f t="shared" si="70"/>
        <v>0</v>
      </c>
      <c r="J380" s="120">
        <f t="shared" si="71"/>
        <v>0</v>
      </c>
      <c r="L380" s="13">
        <f t="shared" si="72"/>
        <v>0</v>
      </c>
      <c r="M380" s="13">
        <f t="shared" si="73"/>
        <v>0</v>
      </c>
    </row>
    <row r="381" spans="2:19" x14ac:dyDescent="0.2">
      <c r="B381" s="2">
        <v>371</v>
      </c>
      <c r="C381" s="13">
        <f t="shared" si="74"/>
        <v>0</v>
      </c>
      <c r="D381" s="119">
        <f t="shared" si="75"/>
        <v>0</v>
      </c>
      <c r="E381" s="13">
        <f t="shared" si="76"/>
        <v>0</v>
      </c>
      <c r="F381" s="13">
        <f t="shared" si="77"/>
        <v>0</v>
      </c>
      <c r="G381" s="13">
        <f t="shared" si="78"/>
        <v>0</v>
      </c>
      <c r="I381" s="120">
        <f t="shared" si="70"/>
        <v>0</v>
      </c>
      <c r="J381" s="120">
        <f t="shared" si="71"/>
        <v>0</v>
      </c>
      <c r="L381" s="13">
        <f t="shared" si="72"/>
        <v>0</v>
      </c>
      <c r="M381" s="13">
        <f t="shared" si="73"/>
        <v>0</v>
      </c>
    </row>
    <row r="382" spans="2:19" x14ac:dyDescent="0.2">
      <c r="B382" s="2">
        <v>372</v>
      </c>
      <c r="C382" s="13">
        <f t="shared" si="74"/>
        <v>0</v>
      </c>
      <c r="D382" s="119">
        <f t="shared" si="75"/>
        <v>0</v>
      </c>
      <c r="E382" s="13">
        <f t="shared" si="76"/>
        <v>0</v>
      </c>
      <c r="F382" s="13">
        <f t="shared" si="77"/>
        <v>0</v>
      </c>
      <c r="G382" s="13">
        <f t="shared" si="78"/>
        <v>0</v>
      </c>
      <c r="I382" s="120">
        <f t="shared" si="70"/>
        <v>0</v>
      </c>
      <c r="J382" s="120">
        <f t="shared" si="71"/>
        <v>0</v>
      </c>
      <c r="L382" s="13">
        <f t="shared" si="72"/>
        <v>0</v>
      </c>
      <c r="M382" s="13">
        <f t="shared" si="73"/>
        <v>0</v>
      </c>
      <c r="R382" s="129">
        <f t="shared" ref="R382:S382" si="83">SUM(L371:L382)</f>
        <v>0</v>
      </c>
      <c r="S382" s="129">
        <f t="shared" si="83"/>
        <v>0</v>
      </c>
    </row>
    <row r="383" spans="2:19" x14ac:dyDescent="0.2">
      <c r="B383" s="2">
        <v>373</v>
      </c>
      <c r="C383" s="13">
        <f t="shared" si="74"/>
        <v>0</v>
      </c>
      <c r="D383" s="119">
        <f t="shared" si="75"/>
        <v>0</v>
      </c>
      <c r="E383" s="13">
        <f t="shared" si="76"/>
        <v>0</v>
      </c>
      <c r="F383" s="13">
        <f t="shared" si="77"/>
        <v>0</v>
      </c>
      <c r="G383" s="13">
        <f t="shared" si="78"/>
        <v>0</v>
      </c>
      <c r="I383" s="120">
        <f t="shared" si="70"/>
        <v>0</v>
      </c>
      <c r="J383" s="120">
        <f t="shared" si="71"/>
        <v>0</v>
      </c>
      <c r="L383" s="13">
        <f t="shared" si="72"/>
        <v>0</v>
      </c>
      <c r="M383" s="13">
        <f t="shared" si="73"/>
        <v>0</v>
      </c>
    </row>
    <row r="384" spans="2:19" x14ac:dyDescent="0.2">
      <c r="B384" s="2">
        <v>374</v>
      </c>
      <c r="C384" s="13">
        <f t="shared" si="74"/>
        <v>0</v>
      </c>
      <c r="D384" s="119">
        <f t="shared" si="75"/>
        <v>0</v>
      </c>
      <c r="E384" s="13">
        <f t="shared" si="76"/>
        <v>0</v>
      </c>
      <c r="F384" s="13">
        <f t="shared" si="77"/>
        <v>0</v>
      </c>
      <c r="G384" s="13">
        <f t="shared" si="78"/>
        <v>0</v>
      </c>
      <c r="I384" s="120">
        <f t="shared" si="70"/>
        <v>0</v>
      </c>
      <c r="J384" s="120">
        <f t="shared" si="71"/>
        <v>0</v>
      </c>
      <c r="L384" s="13">
        <f t="shared" si="72"/>
        <v>0</v>
      </c>
      <c r="M384" s="13">
        <f t="shared" si="73"/>
        <v>0</v>
      </c>
    </row>
    <row r="385" spans="2:19" x14ac:dyDescent="0.2">
      <c r="B385" s="2">
        <v>375</v>
      </c>
      <c r="C385" s="13">
        <f t="shared" si="74"/>
        <v>0</v>
      </c>
      <c r="D385" s="119">
        <f t="shared" si="75"/>
        <v>0</v>
      </c>
      <c r="E385" s="13">
        <f t="shared" si="76"/>
        <v>0</v>
      </c>
      <c r="F385" s="13">
        <f t="shared" si="77"/>
        <v>0</v>
      </c>
      <c r="G385" s="13">
        <f t="shared" si="78"/>
        <v>0</v>
      </c>
      <c r="I385" s="120">
        <f t="shared" si="70"/>
        <v>0</v>
      </c>
      <c r="J385" s="120">
        <f t="shared" si="71"/>
        <v>0</v>
      </c>
      <c r="L385" s="13">
        <f t="shared" si="72"/>
        <v>0</v>
      </c>
      <c r="M385" s="13">
        <f t="shared" si="73"/>
        <v>0</v>
      </c>
    </row>
    <row r="386" spans="2:19" x14ac:dyDescent="0.2">
      <c r="B386" s="2">
        <v>376</v>
      </c>
      <c r="C386" s="13">
        <f t="shared" si="74"/>
        <v>0</v>
      </c>
      <c r="D386" s="119">
        <f t="shared" si="75"/>
        <v>0</v>
      </c>
      <c r="E386" s="13">
        <f t="shared" si="76"/>
        <v>0</v>
      </c>
      <c r="F386" s="13">
        <f t="shared" si="77"/>
        <v>0</v>
      </c>
      <c r="G386" s="13">
        <f t="shared" si="78"/>
        <v>0</v>
      </c>
      <c r="I386" s="120">
        <f t="shared" si="70"/>
        <v>0</v>
      </c>
      <c r="J386" s="120">
        <f t="shared" si="71"/>
        <v>0</v>
      </c>
      <c r="L386" s="13">
        <f t="shared" si="72"/>
        <v>0</v>
      </c>
      <c r="M386" s="13">
        <f t="shared" si="73"/>
        <v>0</v>
      </c>
    </row>
    <row r="387" spans="2:19" x14ac:dyDescent="0.2">
      <c r="B387" s="2">
        <v>377</v>
      </c>
      <c r="C387" s="13">
        <f t="shared" si="74"/>
        <v>0</v>
      </c>
      <c r="D387" s="119">
        <f t="shared" si="75"/>
        <v>0</v>
      </c>
      <c r="E387" s="13">
        <f t="shared" si="76"/>
        <v>0</v>
      </c>
      <c r="F387" s="13">
        <f t="shared" si="77"/>
        <v>0</v>
      </c>
      <c r="G387" s="13">
        <f t="shared" si="78"/>
        <v>0</v>
      </c>
      <c r="I387" s="120">
        <f t="shared" si="70"/>
        <v>0</v>
      </c>
      <c r="J387" s="120">
        <f t="shared" si="71"/>
        <v>0</v>
      </c>
      <c r="L387" s="13">
        <f t="shared" si="72"/>
        <v>0</v>
      </c>
      <c r="M387" s="13">
        <f t="shared" si="73"/>
        <v>0</v>
      </c>
    </row>
    <row r="388" spans="2:19" x14ac:dyDescent="0.2">
      <c r="B388" s="2">
        <v>378</v>
      </c>
      <c r="C388" s="13">
        <f t="shared" si="74"/>
        <v>0</v>
      </c>
      <c r="D388" s="119">
        <f t="shared" si="75"/>
        <v>0</v>
      </c>
      <c r="E388" s="13">
        <f t="shared" si="76"/>
        <v>0</v>
      </c>
      <c r="F388" s="13">
        <f t="shared" si="77"/>
        <v>0</v>
      </c>
      <c r="G388" s="13">
        <f t="shared" si="78"/>
        <v>0</v>
      </c>
      <c r="I388" s="120">
        <f t="shared" si="70"/>
        <v>0</v>
      </c>
      <c r="J388" s="120">
        <f t="shared" si="71"/>
        <v>0</v>
      </c>
      <c r="L388" s="13">
        <f t="shared" si="72"/>
        <v>0</v>
      </c>
      <c r="M388" s="13">
        <f t="shared" si="73"/>
        <v>0</v>
      </c>
    </row>
    <row r="389" spans="2:19" x14ac:dyDescent="0.2">
      <c r="B389" s="2">
        <v>379</v>
      </c>
      <c r="C389" s="13">
        <f t="shared" si="74"/>
        <v>0</v>
      </c>
      <c r="D389" s="119">
        <f t="shared" si="75"/>
        <v>0</v>
      </c>
      <c r="E389" s="13">
        <f t="shared" si="76"/>
        <v>0</v>
      </c>
      <c r="F389" s="13">
        <f t="shared" si="77"/>
        <v>0</v>
      </c>
      <c r="G389" s="13">
        <f t="shared" si="78"/>
        <v>0</v>
      </c>
      <c r="I389" s="120">
        <f t="shared" si="70"/>
        <v>0</v>
      </c>
      <c r="J389" s="120">
        <f t="shared" si="71"/>
        <v>0</v>
      </c>
      <c r="L389" s="13">
        <f t="shared" si="72"/>
        <v>0</v>
      </c>
      <c r="M389" s="13">
        <f t="shared" si="73"/>
        <v>0</v>
      </c>
    </row>
    <row r="390" spans="2:19" x14ac:dyDescent="0.2">
      <c r="B390" s="2">
        <v>380</v>
      </c>
      <c r="C390" s="13">
        <f t="shared" si="74"/>
        <v>0</v>
      </c>
      <c r="D390" s="119">
        <f t="shared" si="75"/>
        <v>0</v>
      </c>
      <c r="E390" s="13">
        <f t="shared" si="76"/>
        <v>0</v>
      </c>
      <c r="F390" s="13">
        <f t="shared" si="77"/>
        <v>0</v>
      </c>
      <c r="G390" s="13">
        <f t="shared" si="78"/>
        <v>0</v>
      </c>
      <c r="I390" s="120">
        <f t="shared" si="70"/>
        <v>0</v>
      </c>
      <c r="J390" s="120">
        <f t="shared" si="71"/>
        <v>0</v>
      </c>
      <c r="L390" s="13">
        <f t="shared" si="72"/>
        <v>0</v>
      </c>
      <c r="M390" s="13">
        <f t="shared" si="73"/>
        <v>0</v>
      </c>
    </row>
    <row r="391" spans="2:19" x14ac:dyDescent="0.2">
      <c r="B391" s="2">
        <v>381</v>
      </c>
      <c r="C391" s="13">
        <f t="shared" si="74"/>
        <v>0</v>
      </c>
      <c r="D391" s="119">
        <f t="shared" si="75"/>
        <v>0</v>
      </c>
      <c r="E391" s="13">
        <f t="shared" si="76"/>
        <v>0</v>
      </c>
      <c r="F391" s="13">
        <f t="shared" si="77"/>
        <v>0</v>
      </c>
      <c r="G391" s="13">
        <f t="shared" si="78"/>
        <v>0</v>
      </c>
      <c r="I391" s="120">
        <f t="shared" si="70"/>
        <v>0</v>
      </c>
      <c r="J391" s="120">
        <f t="shared" si="71"/>
        <v>0</v>
      </c>
      <c r="L391" s="13">
        <f t="shared" si="72"/>
        <v>0</v>
      </c>
      <c r="M391" s="13">
        <f t="shared" si="73"/>
        <v>0</v>
      </c>
    </row>
    <row r="392" spans="2:19" x14ac:dyDescent="0.2">
      <c r="B392" s="2">
        <v>382</v>
      </c>
      <c r="C392" s="13">
        <f t="shared" si="74"/>
        <v>0</v>
      </c>
      <c r="D392" s="119">
        <f t="shared" si="75"/>
        <v>0</v>
      </c>
      <c r="E392" s="13">
        <f t="shared" si="76"/>
        <v>0</v>
      </c>
      <c r="F392" s="13">
        <f t="shared" si="77"/>
        <v>0</v>
      </c>
      <c r="G392" s="13">
        <f t="shared" si="78"/>
        <v>0</v>
      </c>
      <c r="I392" s="120">
        <f t="shared" si="70"/>
        <v>0</v>
      </c>
      <c r="J392" s="120">
        <f t="shared" si="71"/>
        <v>0</v>
      </c>
      <c r="L392" s="13">
        <f t="shared" si="72"/>
        <v>0</v>
      </c>
      <c r="M392" s="13">
        <f t="shared" si="73"/>
        <v>0</v>
      </c>
    </row>
    <row r="393" spans="2:19" x14ac:dyDescent="0.2">
      <c r="B393" s="2">
        <v>383</v>
      </c>
      <c r="C393" s="13">
        <f t="shared" si="74"/>
        <v>0</v>
      </c>
      <c r="D393" s="119">
        <f t="shared" si="75"/>
        <v>0</v>
      </c>
      <c r="E393" s="13">
        <f t="shared" si="76"/>
        <v>0</v>
      </c>
      <c r="F393" s="13">
        <f t="shared" si="77"/>
        <v>0</v>
      </c>
      <c r="G393" s="13">
        <f t="shared" si="78"/>
        <v>0</v>
      </c>
      <c r="I393" s="120">
        <f t="shared" si="70"/>
        <v>0</v>
      </c>
      <c r="J393" s="120">
        <f t="shared" si="71"/>
        <v>0</v>
      </c>
      <c r="L393" s="13">
        <f t="shared" si="72"/>
        <v>0</v>
      </c>
      <c r="M393" s="13">
        <f t="shared" si="73"/>
        <v>0</v>
      </c>
    </row>
    <row r="394" spans="2:19" x14ac:dyDescent="0.2">
      <c r="B394" s="2">
        <v>384</v>
      </c>
      <c r="C394" s="13">
        <f t="shared" si="74"/>
        <v>0</v>
      </c>
      <c r="D394" s="119">
        <f t="shared" si="75"/>
        <v>0</v>
      </c>
      <c r="E394" s="13">
        <f t="shared" si="76"/>
        <v>0</v>
      </c>
      <c r="F394" s="13">
        <f t="shared" si="77"/>
        <v>0</v>
      </c>
      <c r="G394" s="13">
        <f t="shared" si="78"/>
        <v>0</v>
      </c>
      <c r="I394" s="120">
        <f t="shared" si="70"/>
        <v>0</v>
      </c>
      <c r="J394" s="120">
        <f t="shared" si="71"/>
        <v>0</v>
      </c>
      <c r="L394" s="13">
        <f t="shared" si="72"/>
        <v>0</v>
      </c>
      <c r="M394" s="13">
        <f t="shared" si="73"/>
        <v>0</v>
      </c>
      <c r="R394" s="129">
        <f t="shared" ref="R394:S394" si="84">SUM(L383:L394)</f>
        <v>0</v>
      </c>
      <c r="S394" s="129">
        <f t="shared" si="84"/>
        <v>0</v>
      </c>
    </row>
    <row r="395" spans="2:19" x14ac:dyDescent="0.2">
      <c r="B395" s="2">
        <v>385</v>
      </c>
      <c r="C395" s="13">
        <f t="shared" si="74"/>
        <v>0</v>
      </c>
      <c r="D395" s="119">
        <f t="shared" si="75"/>
        <v>0</v>
      </c>
      <c r="E395" s="13">
        <f t="shared" si="76"/>
        <v>0</v>
      </c>
      <c r="F395" s="13">
        <f t="shared" si="77"/>
        <v>0</v>
      </c>
      <c r="G395" s="13">
        <f t="shared" si="78"/>
        <v>0</v>
      </c>
      <c r="I395" s="120">
        <f t="shared" si="70"/>
        <v>0</v>
      </c>
      <c r="J395" s="120">
        <f t="shared" si="71"/>
        <v>0</v>
      </c>
      <c r="L395" s="13">
        <f t="shared" si="72"/>
        <v>0</v>
      </c>
      <c r="M395" s="13">
        <f t="shared" si="73"/>
        <v>0</v>
      </c>
    </row>
    <row r="396" spans="2:19" x14ac:dyDescent="0.2">
      <c r="B396" s="2">
        <v>386</v>
      </c>
      <c r="C396" s="13">
        <f t="shared" si="74"/>
        <v>0</v>
      </c>
      <c r="D396" s="119">
        <f t="shared" si="75"/>
        <v>0</v>
      </c>
      <c r="E396" s="13">
        <f t="shared" si="76"/>
        <v>0</v>
      </c>
      <c r="F396" s="13">
        <f t="shared" si="77"/>
        <v>0</v>
      </c>
      <c r="G396" s="13">
        <f t="shared" si="78"/>
        <v>0</v>
      </c>
      <c r="I396" s="120">
        <f t="shared" ref="I396:I459" si="85">IF(B396&gt;$D$6*12,0,L396/(L396+M396))</f>
        <v>0</v>
      </c>
      <c r="J396" s="120">
        <f t="shared" ref="J396:J459" si="86">IF(B396&gt;$D$6*12,0,M396/(L396+M396))</f>
        <v>0</v>
      </c>
      <c r="L396" s="13">
        <f t="shared" ref="L396:L459" si="87">IF(B396&gt;$D$6*12,0,F396+E396)</f>
        <v>0</v>
      </c>
      <c r="M396" s="13">
        <f t="shared" ref="M396:M459" si="88">IF(B396&gt;$D$6*12,0,-E396)</f>
        <v>0</v>
      </c>
    </row>
    <row r="397" spans="2:19" x14ac:dyDescent="0.2">
      <c r="B397" s="2">
        <v>387</v>
      </c>
      <c r="C397" s="13">
        <f t="shared" ref="C397:C460" si="89">IF(B397&gt;$D$6*12,0,G396)</f>
        <v>0</v>
      </c>
      <c r="D397" s="119">
        <f t="shared" ref="D397:D460" si="90">IF(B397&gt;$D$6*12,0,D396)</f>
        <v>0</v>
      </c>
      <c r="E397" s="13">
        <f t="shared" ref="E397:E460" si="91">IF(B397&gt;$D$6*12,0,D397*C397)</f>
        <v>0</v>
      </c>
      <c r="F397" s="13">
        <f t="shared" ref="F397:F460" si="92">IF(B397&gt;$D$6*12,0,F396)</f>
        <v>0</v>
      </c>
      <c r="G397" s="13">
        <f t="shared" ref="G397:G460" si="93">IF(B397&gt;$D$6*12,0,C397+E397+F397)</f>
        <v>0</v>
      </c>
      <c r="I397" s="120">
        <f t="shared" si="85"/>
        <v>0</v>
      </c>
      <c r="J397" s="120">
        <f t="shared" si="86"/>
        <v>0</v>
      </c>
      <c r="L397" s="13">
        <f t="shared" si="87"/>
        <v>0</v>
      </c>
      <c r="M397" s="13">
        <f t="shared" si="88"/>
        <v>0</v>
      </c>
    </row>
    <row r="398" spans="2:19" x14ac:dyDescent="0.2">
      <c r="B398" s="2">
        <v>388</v>
      </c>
      <c r="C398" s="13">
        <f t="shared" si="89"/>
        <v>0</v>
      </c>
      <c r="D398" s="119">
        <f t="shared" si="90"/>
        <v>0</v>
      </c>
      <c r="E398" s="13">
        <f t="shared" si="91"/>
        <v>0</v>
      </c>
      <c r="F398" s="13">
        <f t="shared" si="92"/>
        <v>0</v>
      </c>
      <c r="G398" s="13">
        <f t="shared" si="93"/>
        <v>0</v>
      </c>
      <c r="I398" s="120">
        <f t="shared" si="85"/>
        <v>0</v>
      </c>
      <c r="J398" s="120">
        <f t="shared" si="86"/>
        <v>0</v>
      </c>
      <c r="L398" s="13">
        <f t="shared" si="87"/>
        <v>0</v>
      </c>
      <c r="M398" s="13">
        <f t="shared" si="88"/>
        <v>0</v>
      </c>
    </row>
    <row r="399" spans="2:19" x14ac:dyDescent="0.2">
      <c r="B399" s="2">
        <v>389</v>
      </c>
      <c r="C399" s="13">
        <f t="shared" si="89"/>
        <v>0</v>
      </c>
      <c r="D399" s="119">
        <f t="shared" si="90"/>
        <v>0</v>
      </c>
      <c r="E399" s="13">
        <f t="shared" si="91"/>
        <v>0</v>
      </c>
      <c r="F399" s="13">
        <f t="shared" si="92"/>
        <v>0</v>
      </c>
      <c r="G399" s="13">
        <f t="shared" si="93"/>
        <v>0</v>
      </c>
      <c r="I399" s="120">
        <f t="shared" si="85"/>
        <v>0</v>
      </c>
      <c r="J399" s="120">
        <f t="shared" si="86"/>
        <v>0</v>
      </c>
      <c r="L399" s="13">
        <f t="shared" si="87"/>
        <v>0</v>
      </c>
      <c r="M399" s="13">
        <f t="shared" si="88"/>
        <v>0</v>
      </c>
    </row>
    <row r="400" spans="2:19" x14ac:dyDescent="0.2">
      <c r="B400" s="2">
        <v>390</v>
      </c>
      <c r="C400" s="13">
        <f t="shared" si="89"/>
        <v>0</v>
      </c>
      <c r="D400" s="119">
        <f t="shared" si="90"/>
        <v>0</v>
      </c>
      <c r="E400" s="13">
        <f t="shared" si="91"/>
        <v>0</v>
      </c>
      <c r="F400" s="13">
        <f t="shared" si="92"/>
        <v>0</v>
      </c>
      <c r="G400" s="13">
        <f t="shared" si="93"/>
        <v>0</v>
      </c>
      <c r="I400" s="120">
        <f t="shared" si="85"/>
        <v>0</v>
      </c>
      <c r="J400" s="120">
        <f t="shared" si="86"/>
        <v>0</v>
      </c>
      <c r="L400" s="13">
        <f t="shared" si="87"/>
        <v>0</v>
      </c>
      <c r="M400" s="13">
        <f t="shared" si="88"/>
        <v>0</v>
      </c>
    </row>
    <row r="401" spans="2:19" x14ac:dyDescent="0.2">
      <c r="B401" s="2">
        <v>391</v>
      </c>
      <c r="C401" s="13">
        <f t="shared" si="89"/>
        <v>0</v>
      </c>
      <c r="D401" s="119">
        <f t="shared" si="90"/>
        <v>0</v>
      </c>
      <c r="E401" s="13">
        <f t="shared" si="91"/>
        <v>0</v>
      </c>
      <c r="F401" s="13">
        <f t="shared" si="92"/>
        <v>0</v>
      </c>
      <c r="G401" s="13">
        <f t="shared" si="93"/>
        <v>0</v>
      </c>
      <c r="I401" s="120">
        <f t="shared" si="85"/>
        <v>0</v>
      </c>
      <c r="J401" s="120">
        <f t="shared" si="86"/>
        <v>0</v>
      </c>
      <c r="L401" s="13">
        <f t="shared" si="87"/>
        <v>0</v>
      </c>
      <c r="M401" s="13">
        <f t="shared" si="88"/>
        <v>0</v>
      </c>
    </row>
    <row r="402" spans="2:19" x14ac:dyDescent="0.2">
      <c r="B402" s="2">
        <v>392</v>
      </c>
      <c r="C402" s="13">
        <f t="shared" si="89"/>
        <v>0</v>
      </c>
      <c r="D402" s="119">
        <f t="shared" si="90"/>
        <v>0</v>
      </c>
      <c r="E402" s="13">
        <f t="shared" si="91"/>
        <v>0</v>
      </c>
      <c r="F402" s="13">
        <f t="shared" si="92"/>
        <v>0</v>
      </c>
      <c r="G402" s="13">
        <f t="shared" si="93"/>
        <v>0</v>
      </c>
      <c r="I402" s="120">
        <f t="shared" si="85"/>
        <v>0</v>
      </c>
      <c r="J402" s="120">
        <f t="shared" si="86"/>
        <v>0</v>
      </c>
      <c r="L402" s="13">
        <f t="shared" si="87"/>
        <v>0</v>
      </c>
      <c r="M402" s="13">
        <f t="shared" si="88"/>
        <v>0</v>
      </c>
    </row>
    <row r="403" spans="2:19" x14ac:dyDescent="0.2">
      <c r="B403" s="2">
        <v>393</v>
      </c>
      <c r="C403" s="13">
        <f t="shared" si="89"/>
        <v>0</v>
      </c>
      <c r="D403" s="119">
        <f t="shared" si="90"/>
        <v>0</v>
      </c>
      <c r="E403" s="13">
        <f t="shared" si="91"/>
        <v>0</v>
      </c>
      <c r="F403" s="13">
        <f t="shared" si="92"/>
        <v>0</v>
      </c>
      <c r="G403" s="13">
        <f t="shared" si="93"/>
        <v>0</v>
      </c>
      <c r="I403" s="120">
        <f t="shared" si="85"/>
        <v>0</v>
      </c>
      <c r="J403" s="120">
        <f t="shared" si="86"/>
        <v>0</v>
      </c>
      <c r="L403" s="13">
        <f t="shared" si="87"/>
        <v>0</v>
      </c>
      <c r="M403" s="13">
        <f t="shared" si="88"/>
        <v>0</v>
      </c>
    </row>
    <row r="404" spans="2:19" x14ac:dyDescent="0.2">
      <c r="B404" s="2">
        <v>394</v>
      </c>
      <c r="C404" s="13">
        <f t="shared" si="89"/>
        <v>0</v>
      </c>
      <c r="D404" s="119">
        <f t="shared" si="90"/>
        <v>0</v>
      </c>
      <c r="E404" s="13">
        <f t="shared" si="91"/>
        <v>0</v>
      </c>
      <c r="F404" s="13">
        <f t="shared" si="92"/>
        <v>0</v>
      </c>
      <c r="G404" s="13">
        <f t="shared" si="93"/>
        <v>0</v>
      </c>
      <c r="I404" s="120">
        <f t="shared" si="85"/>
        <v>0</v>
      </c>
      <c r="J404" s="120">
        <f t="shared" si="86"/>
        <v>0</v>
      </c>
      <c r="L404" s="13">
        <f t="shared" si="87"/>
        <v>0</v>
      </c>
      <c r="M404" s="13">
        <f t="shared" si="88"/>
        <v>0</v>
      </c>
    </row>
    <row r="405" spans="2:19" x14ac:dyDescent="0.2">
      <c r="B405" s="2">
        <v>395</v>
      </c>
      <c r="C405" s="13">
        <f t="shared" si="89"/>
        <v>0</v>
      </c>
      <c r="D405" s="119">
        <f t="shared" si="90"/>
        <v>0</v>
      </c>
      <c r="E405" s="13">
        <f t="shared" si="91"/>
        <v>0</v>
      </c>
      <c r="F405" s="13">
        <f t="shared" si="92"/>
        <v>0</v>
      </c>
      <c r="G405" s="13">
        <f t="shared" si="93"/>
        <v>0</v>
      </c>
      <c r="I405" s="120">
        <f t="shared" si="85"/>
        <v>0</v>
      </c>
      <c r="J405" s="120">
        <f t="shared" si="86"/>
        <v>0</v>
      </c>
      <c r="L405" s="13">
        <f t="shared" si="87"/>
        <v>0</v>
      </c>
      <c r="M405" s="13">
        <f t="shared" si="88"/>
        <v>0</v>
      </c>
    </row>
    <row r="406" spans="2:19" x14ac:dyDescent="0.2">
      <c r="B406" s="2">
        <v>396</v>
      </c>
      <c r="C406" s="13">
        <f t="shared" si="89"/>
        <v>0</v>
      </c>
      <c r="D406" s="119">
        <f t="shared" si="90"/>
        <v>0</v>
      </c>
      <c r="E406" s="13">
        <f t="shared" si="91"/>
        <v>0</v>
      </c>
      <c r="F406" s="13">
        <f t="shared" si="92"/>
        <v>0</v>
      </c>
      <c r="G406" s="13">
        <f t="shared" si="93"/>
        <v>0</v>
      </c>
      <c r="I406" s="120">
        <f t="shared" si="85"/>
        <v>0</v>
      </c>
      <c r="J406" s="120">
        <f t="shared" si="86"/>
        <v>0</v>
      </c>
      <c r="L406" s="13">
        <f t="shared" si="87"/>
        <v>0</v>
      </c>
      <c r="M406" s="13">
        <f t="shared" si="88"/>
        <v>0</v>
      </c>
      <c r="R406" s="129">
        <f t="shared" ref="R406:S406" si="94">SUM(L395:L406)</f>
        <v>0</v>
      </c>
      <c r="S406" s="129">
        <f t="shared" si="94"/>
        <v>0</v>
      </c>
    </row>
    <row r="407" spans="2:19" x14ac:dyDescent="0.2">
      <c r="B407" s="2">
        <v>397</v>
      </c>
      <c r="C407" s="13">
        <f t="shared" si="89"/>
        <v>0</v>
      </c>
      <c r="D407" s="119">
        <f t="shared" si="90"/>
        <v>0</v>
      </c>
      <c r="E407" s="13">
        <f t="shared" si="91"/>
        <v>0</v>
      </c>
      <c r="F407" s="13">
        <f t="shared" si="92"/>
        <v>0</v>
      </c>
      <c r="G407" s="13">
        <f t="shared" si="93"/>
        <v>0</v>
      </c>
      <c r="I407" s="120">
        <f t="shared" si="85"/>
        <v>0</v>
      </c>
      <c r="J407" s="120">
        <f t="shared" si="86"/>
        <v>0</v>
      </c>
      <c r="L407" s="13">
        <f t="shared" si="87"/>
        <v>0</v>
      </c>
      <c r="M407" s="13">
        <f t="shared" si="88"/>
        <v>0</v>
      </c>
    </row>
    <row r="408" spans="2:19" x14ac:dyDescent="0.2">
      <c r="B408" s="2">
        <v>398</v>
      </c>
      <c r="C408" s="13">
        <f t="shared" si="89"/>
        <v>0</v>
      </c>
      <c r="D408" s="119">
        <f t="shared" si="90"/>
        <v>0</v>
      </c>
      <c r="E408" s="13">
        <f t="shared" si="91"/>
        <v>0</v>
      </c>
      <c r="F408" s="13">
        <f t="shared" si="92"/>
        <v>0</v>
      </c>
      <c r="G408" s="13">
        <f t="shared" si="93"/>
        <v>0</v>
      </c>
      <c r="I408" s="120">
        <f t="shared" si="85"/>
        <v>0</v>
      </c>
      <c r="J408" s="120">
        <f t="shared" si="86"/>
        <v>0</v>
      </c>
      <c r="L408" s="13">
        <f t="shared" si="87"/>
        <v>0</v>
      </c>
      <c r="M408" s="13">
        <f t="shared" si="88"/>
        <v>0</v>
      </c>
    </row>
    <row r="409" spans="2:19" x14ac:dyDescent="0.2">
      <c r="B409" s="2">
        <v>399</v>
      </c>
      <c r="C409" s="13">
        <f t="shared" si="89"/>
        <v>0</v>
      </c>
      <c r="D409" s="119">
        <f t="shared" si="90"/>
        <v>0</v>
      </c>
      <c r="E409" s="13">
        <f t="shared" si="91"/>
        <v>0</v>
      </c>
      <c r="F409" s="13">
        <f t="shared" si="92"/>
        <v>0</v>
      </c>
      <c r="G409" s="13">
        <f t="shared" si="93"/>
        <v>0</v>
      </c>
      <c r="I409" s="120">
        <f t="shared" si="85"/>
        <v>0</v>
      </c>
      <c r="J409" s="120">
        <f t="shared" si="86"/>
        <v>0</v>
      </c>
      <c r="L409" s="13">
        <f t="shared" si="87"/>
        <v>0</v>
      </c>
      <c r="M409" s="13">
        <f t="shared" si="88"/>
        <v>0</v>
      </c>
    </row>
    <row r="410" spans="2:19" x14ac:dyDescent="0.2">
      <c r="B410" s="2">
        <v>400</v>
      </c>
      <c r="C410" s="13">
        <f t="shared" si="89"/>
        <v>0</v>
      </c>
      <c r="D410" s="119">
        <f t="shared" si="90"/>
        <v>0</v>
      </c>
      <c r="E410" s="13">
        <f t="shared" si="91"/>
        <v>0</v>
      </c>
      <c r="F410" s="13">
        <f t="shared" si="92"/>
        <v>0</v>
      </c>
      <c r="G410" s="13">
        <f t="shared" si="93"/>
        <v>0</v>
      </c>
      <c r="I410" s="120">
        <f t="shared" si="85"/>
        <v>0</v>
      </c>
      <c r="J410" s="120">
        <f t="shared" si="86"/>
        <v>0</v>
      </c>
      <c r="L410" s="13">
        <f t="shared" si="87"/>
        <v>0</v>
      </c>
      <c r="M410" s="13">
        <f t="shared" si="88"/>
        <v>0</v>
      </c>
    </row>
    <row r="411" spans="2:19" x14ac:dyDescent="0.2">
      <c r="B411" s="2">
        <v>401</v>
      </c>
      <c r="C411" s="13">
        <f t="shared" si="89"/>
        <v>0</v>
      </c>
      <c r="D411" s="119">
        <f t="shared" si="90"/>
        <v>0</v>
      </c>
      <c r="E411" s="13">
        <f t="shared" si="91"/>
        <v>0</v>
      </c>
      <c r="F411" s="13">
        <f t="shared" si="92"/>
        <v>0</v>
      </c>
      <c r="G411" s="13">
        <f t="shared" si="93"/>
        <v>0</v>
      </c>
      <c r="I411" s="120">
        <f t="shared" si="85"/>
        <v>0</v>
      </c>
      <c r="J411" s="120">
        <f t="shared" si="86"/>
        <v>0</v>
      </c>
      <c r="L411" s="13">
        <f t="shared" si="87"/>
        <v>0</v>
      </c>
      <c r="M411" s="13">
        <f t="shared" si="88"/>
        <v>0</v>
      </c>
    </row>
    <row r="412" spans="2:19" x14ac:dyDescent="0.2">
      <c r="B412" s="2">
        <v>402</v>
      </c>
      <c r="C412" s="13">
        <f t="shared" si="89"/>
        <v>0</v>
      </c>
      <c r="D412" s="119">
        <f t="shared" si="90"/>
        <v>0</v>
      </c>
      <c r="E412" s="13">
        <f t="shared" si="91"/>
        <v>0</v>
      </c>
      <c r="F412" s="13">
        <f t="shared" si="92"/>
        <v>0</v>
      </c>
      <c r="G412" s="13">
        <f t="shared" si="93"/>
        <v>0</v>
      </c>
      <c r="I412" s="120">
        <f t="shared" si="85"/>
        <v>0</v>
      </c>
      <c r="J412" s="120">
        <f t="shared" si="86"/>
        <v>0</v>
      </c>
      <c r="L412" s="13">
        <f t="shared" si="87"/>
        <v>0</v>
      </c>
      <c r="M412" s="13">
        <f t="shared" si="88"/>
        <v>0</v>
      </c>
    </row>
    <row r="413" spans="2:19" x14ac:dyDescent="0.2">
      <c r="B413" s="2">
        <v>403</v>
      </c>
      <c r="C413" s="13">
        <f t="shared" si="89"/>
        <v>0</v>
      </c>
      <c r="D413" s="119">
        <f t="shared" si="90"/>
        <v>0</v>
      </c>
      <c r="E413" s="13">
        <f t="shared" si="91"/>
        <v>0</v>
      </c>
      <c r="F413" s="13">
        <f t="shared" si="92"/>
        <v>0</v>
      </c>
      <c r="G413" s="13">
        <f t="shared" si="93"/>
        <v>0</v>
      </c>
      <c r="I413" s="120">
        <f t="shared" si="85"/>
        <v>0</v>
      </c>
      <c r="J413" s="120">
        <f t="shared" si="86"/>
        <v>0</v>
      </c>
      <c r="L413" s="13">
        <f t="shared" si="87"/>
        <v>0</v>
      </c>
      <c r="M413" s="13">
        <f t="shared" si="88"/>
        <v>0</v>
      </c>
    </row>
    <row r="414" spans="2:19" x14ac:dyDescent="0.2">
      <c r="B414" s="2">
        <v>404</v>
      </c>
      <c r="C414" s="13">
        <f t="shared" si="89"/>
        <v>0</v>
      </c>
      <c r="D414" s="119">
        <f t="shared" si="90"/>
        <v>0</v>
      </c>
      <c r="E414" s="13">
        <f t="shared" si="91"/>
        <v>0</v>
      </c>
      <c r="F414" s="13">
        <f t="shared" si="92"/>
        <v>0</v>
      </c>
      <c r="G414" s="13">
        <f t="shared" si="93"/>
        <v>0</v>
      </c>
      <c r="I414" s="120">
        <f t="shared" si="85"/>
        <v>0</v>
      </c>
      <c r="J414" s="120">
        <f t="shared" si="86"/>
        <v>0</v>
      </c>
      <c r="L414" s="13">
        <f t="shared" si="87"/>
        <v>0</v>
      </c>
      <c r="M414" s="13">
        <f t="shared" si="88"/>
        <v>0</v>
      </c>
    </row>
    <row r="415" spans="2:19" x14ac:dyDescent="0.2">
      <c r="B415" s="2">
        <v>405</v>
      </c>
      <c r="C415" s="13">
        <f t="shared" si="89"/>
        <v>0</v>
      </c>
      <c r="D415" s="119">
        <f t="shared" si="90"/>
        <v>0</v>
      </c>
      <c r="E415" s="13">
        <f t="shared" si="91"/>
        <v>0</v>
      </c>
      <c r="F415" s="13">
        <f t="shared" si="92"/>
        <v>0</v>
      </c>
      <c r="G415" s="13">
        <f t="shared" si="93"/>
        <v>0</v>
      </c>
      <c r="I415" s="120">
        <f t="shared" si="85"/>
        <v>0</v>
      </c>
      <c r="J415" s="120">
        <f t="shared" si="86"/>
        <v>0</v>
      </c>
      <c r="L415" s="13">
        <f t="shared" si="87"/>
        <v>0</v>
      </c>
      <c r="M415" s="13">
        <f t="shared" si="88"/>
        <v>0</v>
      </c>
    </row>
    <row r="416" spans="2:19" x14ac:dyDescent="0.2">
      <c r="B416" s="2">
        <v>406</v>
      </c>
      <c r="C416" s="13">
        <f t="shared" si="89"/>
        <v>0</v>
      </c>
      <c r="D416" s="119">
        <f t="shared" si="90"/>
        <v>0</v>
      </c>
      <c r="E416" s="13">
        <f t="shared" si="91"/>
        <v>0</v>
      </c>
      <c r="F416" s="13">
        <f t="shared" si="92"/>
        <v>0</v>
      </c>
      <c r="G416" s="13">
        <f t="shared" si="93"/>
        <v>0</v>
      </c>
      <c r="I416" s="120">
        <f t="shared" si="85"/>
        <v>0</v>
      </c>
      <c r="J416" s="120">
        <f t="shared" si="86"/>
        <v>0</v>
      </c>
      <c r="L416" s="13">
        <f t="shared" si="87"/>
        <v>0</v>
      </c>
      <c r="M416" s="13">
        <f t="shared" si="88"/>
        <v>0</v>
      </c>
    </row>
    <row r="417" spans="2:19" x14ac:dyDescent="0.2">
      <c r="B417" s="2">
        <v>407</v>
      </c>
      <c r="C417" s="13">
        <f t="shared" si="89"/>
        <v>0</v>
      </c>
      <c r="D417" s="119">
        <f t="shared" si="90"/>
        <v>0</v>
      </c>
      <c r="E417" s="13">
        <f t="shared" si="91"/>
        <v>0</v>
      </c>
      <c r="F417" s="13">
        <f t="shared" si="92"/>
        <v>0</v>
      </c>
      <c r="G417" s="13">
        <f t="shared" si="93"/>
        <v>0</v>
      </c>
      <c r="I417" s="120">
        <f t="shared" si="85"/>
        <v>0</v>
      </c>
      <c r="J417" s="120">
        <f t="shared" si="86"/>
        <v>0</v>
      </c>
      <c r="L417" s="13">
        <f t="shared" si="87"/>
        <v>0</v>
      </c>
      <c r="M417" s="13">
        <f t="shared" si="88"/>
        <v>0</v>
      </c>
    </row>
    <row r="418" spans="2:19" x14ac:dyDescent="0.2">
      <c r="B418" s="2">
        <v>408</v>
      </c>
      <c r="C418" s="13">
        <f t="shared" si="89"/>
        <v>0</v>
      </c>
      <c r="D418" s="119">
        <f t="shared" si="90"/>
        <v>0</v>
      </c>
      <c r="E418" s="13">
        <f t="shared" si="91"/>
        <v>0</v>
      </c>
      <c r="F418" s="13">
        <f t="shared" si="92"/>
        <v>0</v>
      </c>
      <c r="G418" s="13">
        <f t="shared" si="93"/>
        <v>0</v>
      </c>
      <c r="I418" s="120">
        <f t="shared" si="85"/>
        <v>0</v>
      </c>
      <c r="J418" s="120">
        <f t="shared" si="86"/>
        <v>0</v>
      </c>
      <c r="L418" s="13">
        <f t="shared" si="87"/>
        <v>0</v>
      </c>
      <c r="M418" s="13">
        <f t="shared" si="88"/>
        <v>0</v>
      </c>
      <c r="R418" s="129">
        <f t="shared" ref="R418:S418" si="95">SUM(L407:L418)</f>
        <v>0</v>
      </c>
      <c r="S418" s="129">
        <f t="shared" si="95"/>
        <v>0</v>
      </c>
    </row>
    <row r="419" spans="2:19" x14ac:dyDescent="0.2">
      <c r="B419" s="2">
        <v>409</v>
      </c>
      <c r="C419" s="13">
        <f t="shared" si="89"/>
        <v>0</v>
      </c>
      <c r="D419" s="119">
        <f t="shared" si="90"/>
        <v>0</v>
      </c>
      <c r="E419" s="13">
        <f t="shared" si="91"/>
        <v>0</v>
      </c>
      <c r="F419" s="13">
        <f t="shared" si="92"/>
        <v>0</v>
      </c>
      <c r="G419" s="13">
        <f t="shared" si="93"/>
        <v>0</v>
      </c>
      <c r="I419" s="120">
        <f t="shared" si="85"/>
        <v>0</v>
      </c>
      <c r="J419" s="120">
        <f t="shared" si="86"/>
        <v>0</v>
      </c>
      <c r="L419" s="13">
        <f t="shared" si="87"/>
        <v>0</v>
      </c>
      <c r="M419" s="13">
        <f t="shared" si="88"/>
        <v>0</v>
      </c>
    </row>
    <row r="420" spans="2:19" x14ac:dyDescent="0.2">
      <c r="B420" s="2">
        <v>410</v>
      </c>
      <c r="C420" s="13">
        <f t="shared" si="89"/>
        <v>0</v>
      </c>
      <c r="D420" s="119">
        <f t="shared" si="90"/>
        <v>0</v>
      </c>
      <c r="E420" s="13">
        <f t="shared" si="91"/>
        <v>0</v>
      </c>
      <c r="F420" s="13">
        <f t="shared" si="92"/>
        <v>0</v>
      </c>
      <c r="G420" s="13">
        <f t="shared" si="93"/>
        <v>0</v>
      </c>
      <c r="I420" s="120">
        <f t="shared" si="85"/>
        <v>0</v>
      </c>
      <c r="J420" s="120">
        <f t="shared" si="86"/>
        <v>0</v>
      </c>
      <c r="L420" s="13">
        <f t="shared" si="87"/>
        <v>0</v>
      </c>
      <c r="M420" s="13">
        <f t="shared" si="88"/>
        <v>0</v>
      </c>
    </row>
    <row r="421" spans="2:19" x14ac:dyDescent="0.2">
      <c r="B421" s="2">
        <v>411</v>
      </c>
      <c r="C421" s="13">
        <f t="shared" si="89"/>
        <v>0</v>
      </c>
      <c r="D421" s="119">
        <f t="shared" si="90"/>
        <v>0</v>
      </c>
      <c r="E421" s="13">
        <f t="shared" si="91"/>
        <v>0</v>
      </c>
      <c r="F421" s="13">
        <f t="shared" si="92"/>
        <v>0</v>
      </c>
      <c r="G421" s="13">
        <f t="shared" si="93"/>
        <v>0</v>
      </c>
      <c r="I421" s="120">
        <f t="shared" si="85"/>
        <v>0</v>
      </c>
      <c r="J421" s="120">
        <f t="shared" si="86"/>
        <v>0</v>
      </c>
      <c r="L421" s="13">
        <f t="shared" si="87"/>
        <v>0</v>
      </c>
      <c r="M421" s="13">
        <f t="shared" si="88"/>
        <v>0</v>
      </c>
    </row>
    <row r="422" spans="2:19" x14ac:dyDescent="0.2">
      <c r="B422" s="2">
        <v>412</v>
      </c>
      <c r="C422" s="13">
        <f t="shared" si="89"/>
        <v>0</v>
      </c>
      <c r="D422" s="119">
        <f t="shared" si="90"/>
        <v>0</v>
      </c>
      <c r="E422" s="13">
        <f t="shared" si="91"/>
        <v>0</v>
      </c>
      <c r="F422" s="13">
        <f t="shared" si="92"/>
        <v>0</v>
      </c>
      <c r="G422" s="13">
        <f t="shared" si="93"/>
        <v>0</v>
      </c>
      <c r="I422" s="120">
        <f t="shared" si="85"/>
        <v>0</v>
      </c>
      <c r="J422" s="120">
        <f t="shared" si="86"/>
        <v>0</v>
      </c>
      <c r="L422" s="13">
        <f t="shared" si="87"/>
        <v>0</v>
      </c>
      <c r="M422" s="13">
        <f t="shared" si="88"/>
        <v>0</v>
      </c>
    </row>
    <row r="423" spans="2:19" x14ac:dyDescent="0.2">
      <c r="B423" s="2">
        <v>413</v>
      </c>
      <c r="C423" s="13">
        <f t="shared" si="89"/>
        <v>0</v>
      </c>
      <c r="D423" s="119">
        <f t="shared" si="90"/>
        <v>0</v>
      </c>
      <c r="E423" s="13">
        <f t="shared" si="91"/>
        <v>0</v>
      </c>
      <c r="F423" s="13">
        <f t="shared" si="92"/>
        <v>0</v>
      </c>
      <c r="G423" s="13">
        <f t="shared" si="93"/>
        <v>0</v>
      </c>
      <c r="I423" s="120">
        <f t="shared" si="85"/>
        <v>0</v>
      </c>
      <c r="J423" s="120">
        <f t="shared" si="86"/>
        <v>0</v>
      </c>
      <c r="L423" s="13">
        <f t="shared" si="87"/>
        <v>0</v>
      </c>
      <c r="M423" s="13">
        <f t="shared" si="88"/>
        <v>0</v>
      </c>
    </row>
    <row r="424" spans="2:19" x14ac:dyDescent="0.2">
      <c r="B424" s="2">
        <v>414</v>
      </c>
      <c r="C424" s="13">
        <f t="shared" si="89"/>
        <v>0</v>
      </c>
      <c r="D424" s="119">
        <f t="shared" si="90"/>
        <v>0</v>
      </c>
      <c r="E424" s="13">
        <f t="shared" si="91"/>
        <v>0</v>
      </c>
      <c r="F424" s="13">
        <f t="shared" si="92"/>
        <v>0</v>
      </c>
      <c r="G424" s="13">
        <f t="shared" si="93"/>
        <v>0</v>
      </c>
      <c r="I424" s="120">
        <f t="shared" si="85"/>
        <v>0</v>
      </c>
      <c r="J424" s="120">
        <f t="shared" si="86"/>
        <v>0</v>
      </c>
      <c r="L424" s="13">
        <f t="shared" si="87"/>
        <v>0</v>
      </c>
      <c r="M424" s="13">
        <f t="shared" si="88"/>
        <v>0</v>
      </c>
    </row>
    <row r="425" spans="2:19" x14ac:dyDescent="0.2">
      <c r="B425" s="2">
        <v>415</v>
      </c>
      <c r="C425" s="13">
        <f t="shared" si="89"/>
        <v>0</v>
      </c>
      <c r="D425" s="119">
        <f t="shared" si="90"/>
        <v>0</v>
      </c>
      <c r="E425" s="13">
        <f t="shared" si="91"/>
        <v>0</v>
      </c>
      <c r="F425" s="13">
        <f t="shared" si="92"/>
        <v>0</v>
      </c>
      <c r="G425" s="13">
        <f t="shared" si="93"/>
        <v>0</v>
      </c>
      <c r="I425" s="120">
        <f t="shared" si="85"/>
        <v>0</v>
      </c>
      <c r="J425" s="120">
        <f t="shared" si="86"/>
        <v>0</v>
      </c>
      <c r="L425" s="13">
        <f t="shared" si="87"/>
        <v>0</v>
      </c>
      <c r="M425" s="13">
        <f t="shared" si="88"/>
        <v>0</v>
      </c>
    </row>
    <row r="426" spans="2:19" x14ac:dyDescent="0.2">
      <c r="B426" s="2">
        <v>416</v>
      </c>
      <c r="C426" s="13">
        <f t="shared" si="89"/>
        <v>0</v>
      </c>
      <c r="D426" s="119">
        <f t="shared" si="90"/>
        <v>0</v>
      </c>
      <c r="E426" s="13">
        <f t="shared" si="91"/>
        <v>0</v>
      </c>
      <c r="F426" s="13">
        <f t="shared" si="92"/>
        <v>0</v>
      </c>
      <c r="G426" s="13">
        <f t="shared" si="93"/>
        <v>0</v>
      </c>
      <c r="I426" s="120">
        <f t="shared" si="85"/>
        <v>0</v>
      </c>
      <c r="J426" s="120">
        <f t="shared" si="86"/>
        <v>0</v>
      </c>
      <c r="L426" s="13">
        <f t="shared" si="87"/>
        <v>0</v>
      </c>
      <c r="M426" s="13">
        <f t="shared" si="88"/>
        <v>0</v>
      </c>
    </row>
    <row r="427" spans="2:19" x14ac:dyDescent="0.2">
      <c r="B427" s="2">
        <v>417</v>
      </c>
      <c r="C427" s="13">
        <f t="shared" si="89"/>
        <v>0</v>
      </c>
      <c r="D427" s="119">
        <f t="shared" si="90"/>
        <v>0</v>
      </c>
      <c r="E427" s="13">
        <f t="shared" si="91"/>
        <v>0</v>
      </c>
      <c r="F427" s="13">
        <f t="shared" si="92"/>
        <v>0</v>
      </c>
      <c r="G427" s="13">
        <f t="shared" si="93"/>
        <v>0</v>
      </c>
      <c r="I427" s="120">
        <f t="shared" si="85"/>
        <v>0</v>
      </c>
      <c r="J427" s="120">
        <f t="shared" si="86"/>
        <v>0</v>
      </c>
      <c r="L427" s="13">
        <f t="shared" si="87"/>
        <v>0</v>
      </c>
      <c r="M427" s="13">
        <f t="shared" si="88"/>
        <v>0</v>
      </c>
    </row>
    <row r="428" spans="2:19" x14ac:dyDescent="0.2">
      <c r="B428" s="2">
        <v>418</v>
      </c>
      <c r="C428" s="13">
        <f t="shared" si="89"/>
        <v>0</v>
      </c>
      <c r="D428" s="119">
        <f t="shared" si="90"/>
        <v>0</v>
      </c>
      <c r="E428" s="13">
        <f t="shared" si="91"/>
        <v>0</v>
      </c>
      <c r="F428" s="13">
        <f t="shared" si="92"/>
        <v>0</v>
      </c>
      <c r="G428" s="13">
        <f t="shared" si="93"/>
        <v>0</v>
      </c>
      <c r="I428" s="120">
        <f t="shared" si="85"/>
        <v>0</v>
      </c>
      <c r="J428" s="120">
        <f t="shared" si="86"/>
        <v>0</v>
      </c>
      <c r="L428" s="13">
        <f t="shared" si="87"/>
        <v>0</v>
      </c>
      <c r="M428" s="13">
        <f t="shared" si="88"/>
        <v>0</v>
      </c>
    </row>
    <row r="429" spans="2:19" x14ac:dyDescent="0.2">
      <c r="B429" s="2">
        <v>419</v>
      </c>
      <c r="C429" s="13">
        <f t="shared" si="89"/>
        <v>0</v>
      </c>
      <c r="D429" s="119">
        <f t="shared" si="90"/>
        <v>0</v>
      </c>
      <c r="E429" s="13">
        <f t="shared" si="91"/>
        <v>0</v>
      </c>
      <c r="F429" s="13">
        <f t="shared" si="92"/>
        <v>0</v>
      </c>
      <c r="G429" s="13">
        <f t="shared" si="93"/>
        <v>0</v>
      </c>
      <c r="I429" s="120">
        <f t="shared" si="85"/>
        <v>0</v>
      </c>
      <c r="J429" s="120">
        <f t="shared" si="86"/>
        <v>0</v>
      </c>
      <c r="L429" s="13">
        <f t="shared" si="87"/>
        <v>0</v>
      </c>
      <c r="M429" s="13">
        <f t="shared" si="88"/>
        <v>0</v>
      </c>
    </row>
    <row r="430" spans="2:19" x14ac:dyDescent="0.2">
      <c r="B430" s="2">
        <v>420</v>
      </c>
      <c r="C430" s="13">
        <f t="shared" si="89"/>
        <v>0</v>
      </c>
      <c r="D430" s="119">
        <f t="shared" si="90"/>
        <v>0</v>
      </c>
      <c r="E430" s="13">
        <f t="shared" si="91"/>
        <v>0</v>
      </c>
      <c r="F430" s="13">
        <f t="shared" si="92"/>
        <v>0</v>
      </c>
      <c r="G430" s="13">
        <f t="shared" si="93"/>
        <v>0</v>
      </c>
      <c r="I430" s="120">
        <f t="shared" si="85"/>
        <v>0</v>
      </c>
      <c r="J430" s="120">
        <f t="shared" si="86"/>
        <v>0</v>
      </c>
      <c r="L430" s="13">
        <f t="shared" si="87"/>
        <v>0</v>
      </c>
      <c r="M430" s="13">
        <f t="shared" si="88"/>
        <v>0</v>
      </c>
      <c r="R430" s="129">
        <f t="shared" ref="R430:S430" si="96">SUM(L419:L430)</f>
        <v>0</v>
      </c>
      <c r="S430" s="129">
        <f t="shared" si="96"/>
        <v>0</v>
      </c>
    </row>
    <row r="431" spans="2:19" x14ac:dyDescent="0.2">
      <c r="B431" s="2">
        <v>421</v>
      </c>
      <c r="C431" s="13">
        <f t="shared" si="89"/>
        <v>0</v>
      </c>
      <c r="D431" s="119">
        <f t="shared" si="90"/>
        <v>0</v>
      </c>
      <c r="E431" s="13">
        <f t="shared" si="91"/>
        <v>0</v>
      </c>
      <c r="F431" s="13">
        <f t="shared" si="92"/>
        <v>0</v>
      </c>
      <c r="G431" s="13">
        <f t="shared" si="93"/>
        <v>0</v>
      </c>
      <c r="I431" s="120">
        <f t="shared" si="85"/>
        <v>0</v>
      </c>
      <c r="J431" s="120">
        <f t="shared" si="86"/>
        <v>0</v>
      </c>
      <c r="L431" s="13">
        <f t="shared" si="87"/>
        <v>0</v>
      </c>
      <c r="M431" s="13">
        <f t="shared" si="88"/>
        <v>0</v>
      </c>
    </row>
    <row r="432" spans="2:19" x14ac:dyDescent="0.2">
      <c r="B432" s="2">
        <v>422</v>
      </c>
      <c r="C432" s="13">
        <f t="shared" si="89"/>
        <v>0</v>
      </c>
      <c r="D432" s="119">
        <f t="shared" si="90"/>
        <v>0</v>
      </c>
      <c r="E432" s="13">
        <f t="shared" si="91"/>
        <v>0</v>
      </c>
      <c r="F432" s="13">
        <f t="shared" si="92"/>
        <v>0</v>
      </c>
      <c r="G432" s="13">
        <f t="shared" si="93"/>
        <v>0</v>
      </c>
      <c r="I432" s="120">
        <f t="shared" si="85"/>
        <v>0</v>
      </c>
      <c r="J432" s="120">
        <f t="shared" si="86"/>
        <v>0</v>
      </c>
      <c r="L432" s="13">
        <f t="shared" si="87"/>
        <v>0</v>
      </c>
      <c r="M432" s="13">
        <f t="shared" si="88"/>
        <v>0</v>
      </c>
    </row>
    <row r="433" spans="2:19" x14ac:dyDescent="0.2">
      <c r="B433" s="2">
        <v>423</v>
      </c>
      <c r="C433" s="13">
        <f t="shared" si="89"/>
        <v>0</v>
      </c>
      <c r="D433" s="119">
        <f t="shared" si="90"/>
        <v>0</v>
      </c>
      <c r="E433" s="13">
        <f t="shared" si="91"/>
        <v>0</v>
      </c>
      <c r="F433" s="13">
        <f t="shared" si="92"/>
        <v>0</v>
      </c>
      <c r="G433" s="13">
        <f t="shared" si="93"/>
        <v>0</v>
      </c>
      <c r="I433" s="120">
        <f t="shared" si="85"/>
        <v>0</v>
      </c>
      <c r="J433" s="120">
        <f t="shared" si="86"/>
        <v>0</v>
      </c>
      <c r="L433" s="13">
        <f t="shared" si="87"/>
        <v>0</v>
      </c>
      <c r="M433" s="13">
        <f t="shared" si="88"/>
        <v>0</v>
      </c>
    </row>
    <row r="434" spans="2:19" x14ac:dyDescent="0.2">
      <c r="B434" s="2">
        <v>424</v>
      </c>
      <c r="C434" s="13">
        <f t="shared" si="89"/>
        <v>0</v>
      </c>
      <c r="D434" s="119">
        <f t="shared" si="90"/>
        <v>0</v>
      </c>
      <c r="E434" s="13">
        <f t="shared" si="91"/>
        <v>0</v>
      </c>
      <c r="F434" s="13">
        <f t="shared" si="92"/>
        <v>0</v>
      </c>
      <c r="G434" s="13">
        <f t="shared" si="93"/>
        <v>0</v>
      </c>
      <c r="I434" s="120">
        <f t="shared" si="85"/>
        <v>0</v>
      </c>
      <c r="J434" s="120">
        <f t="shared" si="86"/>
        <v>0</v>
      </c>
      <c r="L434" s="13">
        <f t="shared" si="87"/>
        <v>0</v>
      </c>
      <c r="M434" s="13">
        <f t="shared" si="88"/>
        <v>0</v>
      </c>
    </row>
    <row r="435" spans="2:19" x14ac:dyDescent="0.2">
      <c r="B435" s="2">
        <v>425</v>
      </c>
      <c r="C435" s="13">
        <f t="shared" si="89"/>
        <v>0</v>
      </c>
      <c r="D435" s="119">
        <f t="shared" si="90"/>
        <v>0</v>
      </c>
      <c r="E435" s="13">
        <f t="shared" si="91"/>
        <v>0</v>
      </c>
      <c r="F435" s="13">
        <f t="shared" si="92"/>
        <v>0</v>
      </c>
      <c r="G435" s="13">
        <f t="shared" si="93"/>
        <v>0</v>
      </c>
      <c r="I435" s="120">
        <f t="shared" si="85"/>
        <v>0</v>
      </c>
      <c r="J435" s="120">
        <f t="shared" si="86"/>
        <v>0</v>
      </c>
      <c r="L435" s="13">
        <f t="shared" si="87"/>
        <v>0</v>
      </c>
      <c r="M435" s="13">
        <f t="shared" si="88"/>
        <v>0</v>
      </c>
    </row>
    <row r="436" spans="2:19" x14ac:dyDescent="0.2">
      <c r="B436" s="2">
        <v>426</v>
      </c>
      <c r="C436" s="13">
        <f t="shared" si="89"/>
        <v>0</v>
      </c>
      <c r="D436" s="119">
        <f t="shared" si="90"/>
        <v>0</v>
      </c>
      <c r="E436" s="13">
        <f t="shared" si="91"/>
        <v>0</v>
      </c>
      <c r="F436" s="13">
        <f t="shared" si="92"/>
        <v>0</v>
      </c>
      <c r="G436" s="13">
        <f t="shared" si="93"/>
        <v>0</v>
      </c>
      <c r="I436" s="120">
        <f t="shared" si="85"/>
        <v>0</v>
      </c>
      <c r="J436" s="120">
        <f t="shared" si="86"/>
        <v>0</v>
      </c>
      <c r="L436" s="13">
        <f t="shared" si="87"/>
        <v>0</v>
      </c>
      <c r="M436" s="13">
        <f t="shared" si="88"/>
        <v>0</v>
      </c>
    </row>
    <row r="437" spans="2:19" x14ac:dyDescent="0.2">
      <c r="B437" s="2">
        <v>427</v>
      </c>
      <c r="C437" s="13">
        <f t="shared" si="89"/>
        <v>0</v>
      </c>
      <c r="D437" s="119">
        <f t="shared" si="90"/>
        <v>0</v>
      </c>
      <c r="E437" s="13">
        <f t="shared" si="91"/>
        <v>0</v>
      </c>
      <c r="F437" s="13">
        <f t="shared" si="92"/>
        <v>0</v>
      </c>
      <c r="G437" s="13">
        <f t="shared" si="93"/>
        <v>0</v>
      </c>
      <c r="I437" s="120">
        <f t="shared" si="85"/>
        <v>0</v>
      </c>
      <c r="J437" s="120">
        <f t="shared" si="86"/>
        <v>0</v>
      </c>
      <c r="L437" s="13">
        <f t="shared" si="87"/>
        <v>0</v>
      </c>
      <c r="M437" s="13">
        <f t="shared" si="88"/>
        <v>0</v>
      </c>
    </row>
    <row r="438" spans="2:19" x14ac:dyDescent="0.2">
      <c r="B438" s="2">
        <v>428</v>
      </c>
      <c r="C438" s="13">
        <f t="shared" si="89"/>
        <v>0</v>
      </c>
      <c r="D438" s="119">
        <f t="shared" si="90"/>
        <v>0</v>
      </c>
      <c r="E438" s="13">
        <f t="shared" si="91"/>
        <v>0</v>
      </c>
      <c r="F438" s="13">
        <f t="shared" si="92"/>
        <v>0</v>
      </c>
      <c r="G438" s="13">
        <f t="shared" si="93"/>
        <v>0</v>
      </c>
      <c r="I438" s="120">
        <f t="shared" si="85"/>
        <v>0</v>
      </c>
      <c r="J438" s="120">
        <f t="shared" si="86"/>
        <v>0</v>
      </c>
      <c r="L438" s="13">
        <f t="shared" si="87"/>
        <v>0</v>
      </c>
      <c r="M438" s="13">
        <f t="shared" si="88"/>
        <v>0</v>
      </c>
    </row>
    <row r="439" spans="2:19" x14ac:dyDescent="0.2">
      <c r="B439" s="2">
        <v>429</v>
      </c>
      <c r="C439" s="13">
        <f t="shared" si="89"/>
        <v>0</v>
      </c>
      <c r="D439" s="119">
        <f t="shared" si="90"/>
        <v>0</v>
      </c>
      <c r="E439" s="13">
        <f t="shared" si="91"/>
        <v>0</v>
      </c>
      <c r="F439" s="13">
        <f t="shared" si="92"/>
        <v>0</v>
      </c>
      <c r="G439" s="13">
        <f t="shared" si="93"/>
        <v>0</v>
      </c>
      <c r="I439" s="120">
        <f t="shared" si="85"/>
        <v>0</v>
      </c>
      <c r="J439" s="120">
        <f t="shared" si="86"/>
        <v>0</v>
      </c>
      <c r="L439" s="13">
        <f t="shared" si="87"/>
        <v>0</v>
      </c>
      <c r="M439" s="13">
        <f t="shared" si="88"/>
        <v>0</v>
      </c>
    </row>
    <row r="440" spans="2:19" x14ac:dyDescent="0.2">
      <c r="B440" s="2">
        <v>430</v>
      </c>
      <c r="C440" s="13">
        <f t="shared" si="89"/>
        <v>0</v>
      </c>
      <c r="D440" s="119">
        <f t="shared" si="90"/>
        <v>0</v>
      </c>
      <c r="E440" s="13">
        <f t="shared" si="91"/>
        <v>0</v>
      </c>
      <c r="F440" s="13">
        <f t="shared" si="92"/>
        <v>0</v>
      </c>
      <c r="G440" s="13">
        <f t="shared" si="93"/>
        <v>0</v>
      </c>
      <c r="I440" s="120">
        <f t="shared" si="85"/>
        <v>0</v>
      </c>
      <c r="J440" s="120">
        <f t="shared" si="86"/>
        <v>0</v>
      </c>
      <c r="L440" s="13">
        <f t="shared" si="87"/>
        <v>0</v>
      </c>
      <c r="M440" s="13">
        <f t="shared" si="88"/>
        <v>0</v>
      </c>
    </row>
    <row r="441" spans="2:19" x14ac:dyDescent="0.2">
      <c r="B441" s="2">
        <v>431</v>
      </c>
      <c r="C441" s="13">
        <f t="shared" si="89"/>
        <v>0</v>
      </c>
      <c r="D441" s="119">
        <f t="shared" si="90"/>
        <v>0</v>
      </c>
      <c r="E441" s="13">
        <f t="shared" si="91"/>
        <v>0</v>
      </c>
      <c r="F441" s="13">
        <f t="shared" si="92"/>
        <v>0</v>
      </c>
      <c r="G441" s="13">
        <f t="shared" si="93"/>
        <v>0</v>
      </c>
      <c r="I441" s="120">
        <f t="shared" si="85"/>
        <v>0</v>
      </c>
      <c r="J441" s="120">
        <f t="shared" si="86"/>
        <v>0</v>
      </c>
      <c r="L441" s="13">
        <f t="shared" si="87"/>
        <v>0</v>
      </c>
      <c r="M441" s="13">
        <f t="shared" si="88"/>
        <v>0</v>
      </c>
    </row>
    <row r="442" spans="2:19" x14ac:dyDescent="0.2">
      <c r="B442" s="2">
        <v>432</v>
      </c>
      <c r="C442" s="13">
        <f t="shared" si="89"/>
        <v>0</v>
      </c>
      <c r="D442" s="119">
        <f t="shared" si="90"/>
        <v>0</v>
      </c>
      <c r="E442" s="13">
        <f t="shared" si="91"/>
        <v>0</v>
      </c>
      <c r="F442" s="13">
        <f t="shared" si="92"/>
        <v>0</v>
      </c>
      <c r="G442" s="13">
        <f t="shared" si="93"/>
        <v>0</v>
      </c>
      <c r="I442" s="120">
        <f t="shared" si="85"/>
        <v>0</v>
      </c>
      <c r="J442" s="120">
        <f t="shared" si="86"/>
        <v>0</v>
      </c>
      <c r="L442" s="13">
        <f t="shared" si="87"/>
        <v>0</v>
      </c>
      <c r="M442" s="13">
        <f t="shared" si="88"/>
        <v>0</v>
      </c>
      <c r="R442" s="129">
        <f t="shared" ref="R442:S442" si="97">SUM(L431:L442)</f>
        <v>0</v>
      </c>
      <c r="S442" s="129">
        <f t="shared" si="97"/>
        <v>0</v>
      </c>
    </row>
    <row r="443" spans="2:19" x14ac:dyDescent="0.2">
      <c r="B443" s="2">
        <v>433</v>
      </c>
      <c r="C443" s="13">
        <f t="shared" si="89"/>
        <v>0</v>
      </c>
      <c r="D443" s="119">
        <f t="shared" si="90"/>
        <v>0</v>
      </c>
      <c r="E443" s="13">
        <f t="shared" si="91"/>
        <v>0</v>
      </c>
      <c r="F443" s="13">
        <f t="shared" si="92"/>
        <v>0</v>
      </c>
      <c r="G443" s="13">
        <f t="shared" si="93"/>
        <v>0</v>
      </c>
      <c r="I443" s="120">
        <f t="shared" si="85"/>
        <v>0</v>
      </c>
      <c r="J443" s="120">
        <f t="shared" si="86"/>
        <v>0</v>
      </c>
      <c r="L443" s="13">
        <f t="shared" si="87"/>
        <v>0</v>
      </c>
      <c r="M443" s="13">
        <f t="shared" si="88"/>
        <v>0</v>
      </c>
    </row>
    <row r="444" spans="2:19" x14ac:dyDescent="0.2">
      <c r="B444" s="2">
        <v>434</v>
      </c>
      <c r="C444" s="13">
        <f t="shared" si="89"/>
        <v>0</v>
      </c>
      <c r="D444" s="119">
        <f t="shared" si="90"/>
        <v>0</v>
      </c>
      <c r="E444" s="13">
        <f t="shared" si="91"/>
        <v>0</v>
      </c>
      <c r="F444" s="13">
        <f t="shared" si="92"/>
        <v>0</v>
      </c>
      <c r="G444" s="13">
        <f t="shared" si="93"/>
        <v>0</v>
      </c>
      <c r="I444" s="120">
        <f t="shared" si="85"/>
        <v>0</v>
      </c>
      <c r="J444" s="120">
        <f t="shared" si="86"/>
        <v>0</v>
      </c>
      <c r="L444" s="13">
        <f t="shared" si="87"/>
        <v>0</v>
      </c>
      <c r="M444" s="13">
        <f t="shared" si="88"/>
        <v>0</v>
      </c>
    </row>
    <row r="445" spans="2:19" x14ac:dyDescent="0.2">
      <c r="B445" s="2">
        <v>435</v>
      </c>
      <c r="C445" s="13">
        <f t="shared" si="89"/>
        <v>0</v>
      </c>
      <c r="D445" s="119">
        <f t="shared" si="90"/>
        <v>0</v>
      </c>
      <c r="E445" s="13">
        <f t="shared" si="91"/>
        <v>0</v>
      </c>
      <c r="F445" s="13">
        <f t="shared" si="92"/>
        <v>0</v>
      </c>
      <c r="G445" s="13">
        <f t="shared" si="93"/>
        <v>0</v>
      </c>
      <c r="I445" s="120">
        <f t="shared" si="85"/>
        <v>0</v>
      </c>
      <c r="J445" s="120">
        <f t="shared" si="86"/>
        <v>0</v>
      </c>
      <c r="L445" s="13">
        <f t="shared" si="87"/>
        <v>0</v>
      </c>
      <c r="M445" s="13">
        <f t="shared" si="88"/>
        <v>0</v>
      </c>
    </row>
    <row r="446" spans="2:19" x14ac:dyDescent="0.2">
      <c r="B446" s="2">
        <v>436</v>
      </c>
      <c r="C446" s="13">
        <f t="shared" si="89"/>
        <v>0</v>
      </c>
      <c r="D446" s="119">
        <f t="shared" si="90"/>
        <v>0</v>
      </c>
      <c r="E446" s="13">
        <f t="shared" si="91"/>
        <v>0</v>
      </c>
      <c r="F446" s="13">
        <f t="shared" si="92"/>
        <v>0</v>
      </c>
      <c r="G446" s="13">
        <f t="shared" si="93"/>
        <v>0</v>
      </c>
      <c r="I446" s="120">
        <f t="shared" si="85"/>
        <v>0</v>
      </c>
      <c r="J446" s="120">
        <f t="shared" si="86"/>
        <v>0</v>
      </c>
      <c r="L446" s="13">
        <f t="shared" si="87"/>
        <v>0</v>
      </c>
      <c r="M446" s="13">
        <f t="shared" si="88"/>
        <v>0</v>
      </c>
    </row>
    <row r="447" spans="2:19" x14ac:dyDescent="0.2">
      <c r="B447" s="2">
        <v>437</v>
      </c>
      <c r="C447" s="13">
        <f t="shared" si="89"/>
        <v>0</v>
      </c>
      <c r="D447" s="119">
        <f t="shared" si="90"/>
        <v>0</v>
      </c>
      <c r="E447" s="13">
        <f t="shared" si="91"/>
        <v>0</v>
      </c>
      <c r="F447" s="13">
        <f t="shared" si="92"/>
        <v>0</v>
      </c>
      <c r="G447" s="13">
        <f t="shared" si="93"/>
        <v>0</v>
      </c>
      <c r="I447" s="120">
        <f t="shared" si="85"/>
        <v>0</v>
      </c>
      <c r="J447" s="120">
        <f t="shared" si="86"/>
        <v>0</v>
      </c>
      <c r="L447" s="13">
        <f t="shared" si="87"/>
        <v>0</v>
      </c>
      <c r="M447" s="13">
        <f t="shared" si="88"/>
        <v>0</v>
      </c>
    </row>
    <row r="448" spans="2:19" x14ac:dyDescent="0.2">
      <c r="B448" s="2">
        <v>438</v>
      </c>
      <c r="C448" s="13">
        <f t="shared" si="89"/>
        <v>0</v>
      </c>
      <c r="D448" s="119">
        <f t="shared" si="90"/>
        <v>0</v>
      </c>
      <c r="E448" s="13">
        <f t="shared" si="91"/>
        <v>0</v>
      </c>
      <c r="F448" s="13">
        <f t="shared" si="92"/>
        <v>0</v>
      </c>
      <c r="G448" s="13">
        <f t="shared" si="93"/>
        <v>0</v>
      </c>
      <c r="I448" s="120">
        <f t="shared" si="85"/>
        <v>0</v>
      </c>
      <c r="J448" s="120">
        <f t="shared" si="86"/>
        <v>0</v>
      </c>
      <c r="L448" s="13">
        <f t="shared" si="87"/>
        <v>0</v>
      </c>
      <c r="M448" s="13">
        <f t="shared" si="88"/>
        <v>0</v>
      </c>
    </row>
    <row r="449" spans="2:19" x14ac:dyDescent="0.2">
      <c r="B449" s="2">
        <v>439</v>
      </c>
      <c r="C449" s="13">
        <f t="shared" si="89"/>
        <v>0</v>
      </c>
      <c r="D449" s="119">
        <f t="shared" si="90"/>
        <v>0</v>
      </c>
      <c r="E449" s="13">
        <f t="shared" si="91"/>
        <v>0</v>
      </c>
      <c r="F449" s="13">
        <f t="shared" si="92"/>
        <v>0</v>
      </c>
      <c r="G449" s="13">
        <f t="shared" si="93"/>
        <v>0</v>
      </c>
      <c r="I449" s="120">
        <f t="shared" si="85"/>
        <v>0</v>
      </c>
      <c r="J449" s="120">
        <f t="shared" si="86"/>
        <v>0</v>
      </c>
      <c r="L449" s="13">
        <f t="shared" si="87"/>
        <v>0</v>
      </c>
      <c r="M449" s="13">
        <f t="shared" si="88"/>
        <v>0</v>
      </c>
    </row>
    <row r="450" spans="2:19" x14ac:dyDescent="0.2">
      <c r="B450" s="2">
        <v>440</v>
      </c>
      <c r="C450" s="13">
        <f t="shared" si="89"/>
        <v>0</v>
      </c>
      <c r="D450" s="119">
        <f t="shared" si="90"/>
        <v>0</v>
      </c>
      <c r="E450" s="13">
        <f t="shared" si="91"/>
        <v>0</v>
      </c>
      <c r="F450" s="13">
        <f t="shared" si="92"/>
        <v>0</v>
      </c>
      <c r="G450" s="13">
        <f t="shared" si="93"/>
        <v>0</v>
      </c>
      <c r="I450" s="120">
        <f t="shared" si="85"/>
        <v>0</v>
      </c>
      <c r="J450" s="120">
        <f t="shared" si="86"/>
        <v>0</v>
      </c>
      <c r="L450" s="13">
        <f t="shared" si="87"/>
        <v>0</v>
      </c>
      <c r="M450" s="13">
        <f t="shared" si="88"/>
        <v>0</v>
      </c>
    </row>
    <row r="451" spans="2:19" x14ac:dyDescent="0.2">
      <c r="B451" s="2">
        <v>441</v>
      </c>
      <c r="C451" s="13">
        <f t="shared" si="89"/>
        <v>0</v>
      </c>
      <c r="D451" s="119">
        <f t="shared" si="90"/>
        <v>0</v>
      </c>
      <c r="E451" s="13">
        <f t="shared" si="91"/>
        <v>0</v>
      </c>
      <c r="F451" s="13">
        <f t="shared" si="92"/>
        <v>0</v>
      </c>
      <c r="G451" s="13">
        <f t="shared" si="93"/>
        <v>0</v>
      </c>
      <c r="I451" s="120">
        <f t="shared" si="85"/>
        <v>0</v>
      </c>
      <c r="J451" s="120">
        <f t="shared" si="86"/>
        <v>0</v>
      </c>
      <c r="L451" s="13">
        <f t="shared" si="87"/>
        <v>0</v>
      </c>
      <c r="M451" s="13">
        <f t="shared" si="88"/>
        <v>0</v>
      </c>
    </row>
    <row r="452" spans="2:19" x14ac:dyDescent="0.2">
      <c r="B452" s="2">
        <v>442</v>
      </c>
      <c r="C452" s="13">
        <f t="shared" si="89"/>
        <v>0</v>
      </c>
      <c r="D452" s="119">
        <f t="shared" si="90"/>
        <v>0</v>
      </c>
      <c r="E452" s="13">
        <f t="shared" si="91"/>
        <v>0</v>
      </c>
      <c r="F452" s="13">
        <f t="shared" si="92"/>
        <v>0</v>
      </c>
      <c r="G452" s="13">
        <f t="shared" si="93"/>
        <v>0</v>
      </c>
      <c r="I452" s="120">
        <f t="shared" si="85"/>
        <v>0</v>
      </c>
      <c r="J452" s="120">
        <f t="shared" si="86"/>
        <v>0</v>
      </c>
      <c r="L452" s="13">
        <f t="shared" si="87"/>
        <v>0</v>
      </c>
      <c r="M452" s="13">
        <f t="shared" si="88"/>
        <v>0</v>
      </c>
    </row>
    <row r="453" spans="2:19" x14ac:dyDescent="0.2">
      <c r="B453" s="2">
        <v>443</v>
      </c>
      <c r="C453" s="13">
        <f t="shared" si="89"/>
        <v>0</v>
      </c>
      <c r="D453" s="119">
        <f t="shared" si="90"/>
        <v>0</v>
      </c>
      <c r="E453" s="13">
        <f t="shared" si="91"/>
        <v>0</v>
      </c>
      <c r="F453" s="13">
        <f t="shared" si="92"/>
        <v>0</v>
      </c>
      <c r="G453" s="13">
        <f t="shared" si="93"/>
        <v>0</v>
      </c>
      <c r="I453" s="120">
        <f t="shared" si="85"/>
        <v>0</v>
      </c>
      <c r="J453" s="120">
        <f t="shared" si="86"/>
        <v>0</v>
      </c>
      <c r="L453" s="13">
        <f t="shared" si="87"/>
        <v>0</v>
      </c>
      <c r="M453" s="13">
        <f t="shared" si="88"/>
        <v>0</v>
      </c>
    </row>
    <row r="454" spans="2:19" x14ac:dyDescent="0.2">
      <c r="B454" s="2">
        <v>444</v>
      </c>
      <c r="C454" s="13">
        <f t="shared" si="89"/>
        <v>0</v>
      </c>
      <c r="D454" s="119">
        <f t="shared" si="90"/>
        <v>0</v>
      </c>
      <c r="E454" s="13">
        <f t="shared" si="91"/>
        <v>0</v>
      </c>
      <c r="F454" s="13">
        <f t="shared" si="92"/>
        <v>0</v>
      </c>
      <c r="G454" s="13">
        <f t="shared" si="93"/>
        <v>0</v>
      </c>
      <c r="I454" s="120">
        <f t="shared" si="85"/>
        <v>0</v>
      </c>
      <c r="J454" s="120">
        <f t="shared" si="86"/>
        <v>0</v>
      </c>
      <c r="L454" s="13">
        <f t="shared" si="87"/>
        <v>0</v>
      </c>
      <c r="M454" s="13">
        <f t="shared" si="88"/>
        <v>0</v>
      </c>
      <c r="R454" s="129">
        <f t="shared" ref="R454:S454" si="98">SUM(L443:L454)</f>
        <v>0</v>
      </c>
      <c r="S454" s="129">
        <f t="shared" si="98"/>
        <v>0</v>
      </c>
    </row>
    <row r="455" spans="2:19" x14ac:dyDescent="0.2">
      <c r="B455" s="2">
        <v>445</v>
      </c>
      <c r="C455" s="13">
        <f t="shared" si="89"/>
        <v>0</v>
      </c>
      <c r="D455" s="119">
        <f t="shared" si="90"/>
        <v>0</v>
      </c>
      <c r="E455" s="13">
        <f t="shared" si="91"/>
        <v>0</v>
      </c>
      <c r="F455" s="13">
        <f t="shared" si="92"/>
        <v>0</v>
      </c>
      <c r="G455" s="13">
        <f t="shared" si="93"/>
        <v>0</v>
      </c>
      <c r="I455" s="120">
        <f t="shared" si="85"/>
        <v>0</v>
      </c>
      <c r="J455" s="120">
        <f t="shared" si="86"/>
        <v>0</v>
      </c>
      <c r="L455" s="13">
        <f t="shared" si="87"/>
        <v>0</v>
      </c>
      <c r="M455" s="13">
        <f t="shared" si="88"/>
        <v>0</v>
      </c>
    </row>
    <row r="456" spans="2:19" x14ac:dyDescent="0.2">
      <c r="B456" s="2">
        <v>446</v>
      </c>
      <c r="C456" s="13">
        <f t="shared" si="89"/>
        <v>0</v>
      </c>
      <c r="D456" s="119">
        <f t="shared" si="90"/>
        <v>0</v>
      </c>
      <c r="E456" s="13">
        <f t="shared" si="91"/>
        <v>0</v>
      </c>
      <c r="F456" s="13">
        <f t="shared" si="92"/>
        <v>0</v>
      </c>
      <c r="G456" s="13">
        <f t="shared" si="93"/>
        <v>0</v>
      </c>
      <c r="I456" s="120">
        <f t="shared" si="85"/>
        <v>0</v>
      </c>
      <c r="J456" s="120">
        <f t="shared" si="86"/>
        <v>0</v>
      </c>
      <c r="L456" s="13">
        <f t="shared" si="87"/>
        <v>0</v>
      </c>
      <c r="M456" s="13">
        <f t="shared" si="88"/>
        <v>0</v>
      </c>
    </row>
    <row r="457" spans="2:19" x14ac:dyDescent="0.2">
      <c r="B457" s="2">
        <v>447</v>
      </c>
      <c r="C457" s="13">
        <f t="shared" si="89"/>
        <v>0</v>
      </c>
      <c r="D457" s="119">
        <f t="shared" si="90"/>
        <v>0</v>
      </c>
      <c r="E457" s="13">
        <f t="shared" si="91"/>
        <v>0</v>
      </c>
      <c r="F457" s="13">
        <f t="shared" si="92"/>
        <v>0</v>
      </c>
      <c r="G457" s="13">
        <f t="shared" si="93"/>
        <v>0</v>
      </c>
      <c r="I457" s="120">
        <f t="shared" si="85"/>
        <v>0</v>
      </c>
      <c r="J457" s="120">
        <f t="shared" si="86"/>
        <v>0</v>
      </c>
      <c r="L457" s="13">
        <f t="shared" si="87"/>
        <v>0</v>
      </c>
      <c r="M457" s="13">
        <f t="shared" si="88"/>
        <v>0</v>
      </c>
    </row>
    <row r="458" spans="2:19" x14ac:dyDescent="0.2">
      <c r="B458" s="2">
        <v>448</v>
      </c>
      <c r="C458" s="13">
        <f t="shared" si="89"/>
        <v>0</v>
      </c>
      <c r="D458" s="119">
        <f t="shared" si="90"/>
        <v>0</v>
      </c>
      <c r="E458" s="13">
        <f t="shared" si="91"/>
        <v>0</v>
      </c>
      <c r="F458" s="13">
        <f t="shared" si="92"/>
        <v>0</v>
      </c>
      <c r="G458" s="13">
        <f t="shared" si="93"/>
        <v>0</v>
      </c>
      <c r="I458" s="120">
        <f t="shared" si="85"/>
        <v>0</v>
      </c>
      <c r="J458" s="120">
        <f t="shared" si="86"/>
        <v>0</v>
      </c>
      <c r="L458" s="13">
        <f t="shared" si="87"/>
        <v>0</v>
      </c>
      <c r="M458" s="13">
        <f t="shared" si="88"/>
        <v>0</v>
      </c>
    </row>
    <row r="459" spans="2:19" x14ac:dyDescent="0.2">
      <c r="B459" s="2">
        <v>449</v>
      </c>
      <c r="C459" s="13">
        <f t="shared" si="89"/>
        <v>0</v>
      </c>
      <c r="D459" s="119">
        <f t="shared" si="90"/>
        <v>0</v>
      </c>
      <c r="E459" s="13">
        <f t="shared" si="91"/>
        <v>0</v>
      </c>
      <c r="F459" s="13">
        <f t="shared" si="92"/>
        <v>0</v>
      </c>
      <c r="G459" s="13">
        <f t="shared" si="93"/>
        <v>0</v>
      </c>
      <c r="I459" s="120">
        <f t="shared" si="85"/>
        <v>0</v>
      </c>
      <c r="J459" s="120">
        <f t="shared" si="86"/>
        <v>0</v>
      </c>
      <c r="L459" s="13">
        <f t="shared" si="87"/>
        <v>0</v>
      </c>
      <c r="M459" s="13">
        <f t="shared" si="88"/>
        <v>0</v>
      </c>
    </row>
    <row r="460" spans="2:19" x14ac:dyDescent="0.2">
      <c r="B460" s="2">
        <v>450</v>
      </c>
      <c r="C460" s="13">
        <f t="shared" si="89"/>
        <v>0</v>
      </c>
      <c r="D460" s="119">
        <f t="shared" si="90"/>
        <v>0</v>
      </c>
      <c r="E460" s="13">
        <f t="shared" si="91"/>
        <v>0</v>
      </c>
      <c r="F460" s="13">
        <f t="shared" si="92"/>
        <v>0</v>
      </c>
      <c r="G460" s="13">
        <f t="shared" si="93"/>
        <v>0</v>
      </c>
      <c r="I460" s="120">
        <f t="shared" ref="I460:I523" si="99">IF(B460&gt;$D$6*12,0,L460/(L460+M460))</f>
        <v>0</v>
      </c>
      <c r="J460" s="120">
        <f t="shared" ref="J460:J523" si="100">IF(B460&gt;$D$6*12,0,M460/(L460+M460))</f>
        <v>0</v>
      </c>
      <c r="L460" s="13">
        <f t="shared" ref="L460:L523" si="101">IF(B460&gt;$D$6*12,0,F460+E460)</f>
        <v>0</v>
      </c>
      <c r="M460" s="13">
        <f t="shared" ref="M460:M523" si="102">IF(B460&gt;$D$6*12,0,-E460)</f>
        <v>0</v>
      </c>
    </row>
    <row r="461" spans="2:19" x14ac:dyDescent="0.2">
      <c r="B461" s="2">
        <v>451</v>
      </c>
      <c r="C461" s="13">
        <f t="shared" ref="C461:C524" si="103">IF(B461&gt;$D$6*12,0,G460)</f>
        <v>0</v>
      </c>
      <c r="D461" s="119">
        <f t="shared" ref="D461:D524" si="104">IF(B461&gt;$D$6*12,0,D460)</f>
        <v>0</v>
      </c>
      <c r="E461" s="13">
        <f t="shared" ref="E461:E524" si="105">IF(B461&gt;$D$6*12,0,D461*C461)</f>
        <v>0</v>
      </c>
      <c r="F461" s="13">
        <f t="shared" ref="F461:F524" si="106">IF(B461&gt;$D$6*12,0,F460)</f>
        <v>0</v>
      </c>
      <c r="G461" s="13">
        <f t="shared" ref="G461:G524" si="107">IF(B461&gt;$D$6*12,0,C461+E461+F461)</f>
        <v>0</v>
      </c>
      <c r="I461" s="120">
        <f t="shared" si="99"/>
        <v>0</v>
      </c>
      <c r="J461" s="120">
        <f t="shared" si="100"/>
        <v>0</v>
      </c>
      <c r="L461" s="13">
        <f t="shared" si="101"/>
        <v>0</v>
      </c>
      <c r="M461" s="13">
        <f t="shared" si="102"/>
        <v>0</v>
      </c>
    </row>
    <row r="462" spans="2:19" x14ac:dyDescent="0.2">
      <c r="B462" s="2">
        <v>452</v>
      </c>
      <c r="C462" s="13">
        <f t="shared" si="103"/>
        <v>0</v>
      </c>
      <c r="D462" s="119">
        <f t="shared" si="104"/>
        <v>0</v>
      </c>
      <c r="E462" s="13">
        <f t="shared" si="105"/>
        <v>0</v>
      </c>
      <c r="F462" s="13">
        <f t="shared" si="106"/>
        <v>0</v>
      </c>
      <c r="G462" s="13">
        <f t="shared" si="107"/>
        <v>0</v>
      </c>
      <c r="I462" s="120">
        <f t="shared" si="99"/>
        <v>0</v>
      </c>
      <c r="J462" s="120">
        <f t="shared" si="100"/>
        <v>0</v>
      </c>
      <c r="L462" s="13">
        <f t="shared" si="101"/>
        <v>0</v>
      </c>
      <c r="M462" s="13">
        <f t="shared" si="102"/>
        <v>0</v>
      </c>
    </row>
    <row r="463" spans="2:19" x14ac:dyDescent="0.2">
      <c r="B463" s="2">
        <v>453</v>
      </c>
      <c r="C463" s="13">
        <f t="shared" si="103"/>
        <v>0</v>
      </c>
      <c r="D463" s="119">
        <f t="shared" si="104"/>
        <v>0</v>
      </c>
      <c r="E463" s="13">
        <f t="shared" si="105"/>
        <v>0</v>
      </c>
      <c r="F463" s="13">
        <f t="shared" si="106"/>
        <v>0</v>
      </c>
      <c r="G463" s="13">
        <f t="shared" si="107"/>
        <v>0</v>
      </c>
      <c r="I463" s="120">
        <f t="shared" si="99"/>
        <v>0</v>
      </c>
      <c r="J463" s="120">
        <f t="shared" si="100"/>
        <v>0</v>
      </c>
      <c r="L463" s="13">
        <f t="shared" si="101"/>
        <v>0</v>
      </c>
      <c r="M463" s="13">
        <f t="shared" si="102"/>
        <v>0</v>
      </c>
    </row>
    <row r="464" spans="2:19" x14ac:dyDescent="0.2">
      <c r="B464" s="2">
        <v>454</v>
      </c>
      <c r="C464" s="13">
        <f t="shared" si="103"/>
        <v>0</v>
      </c>
      <c r="D464" s="119">
        <f t="shared" si="104"/>
        <v>0</v>
      </c>
      <c r="E464" s="13">
        <f t="shared" si="105"/>
        <v>0</v>
      </c>
      <c r="F464" s="13">
        <f t="shared" si="106"/>
        <v>0</v>
      </c>
      <c r="G464" s="13">
        <f t="shared" si="107"/>
        <v>0</v>
      </c>
      <c r="I464" s="120">
        <f t="shared" si="99"/>
        <v>0</v>
      </c>
      <c r="J464" s="120">
        <f t="shared" si="100"/>
        <v>0</v>
      </c>
      <c r="L464" s="13">
        <f t="shared" si="101"/>
        <v>0</v>
      </c>
      <c r="M464" s="13">
        <f t="shared" si="102"/>
        <v>0</v>
      </c>
    </row>
    <row r="465" spans="2:19" x14ac:dyDescent="0.2">
      <c r="B465" s="2">
        <v>455</v>
      </c>
      <c r="C465" s="13">
        <f t="shared" si="103"/>
        <v>0</v>
      </c>
      <c r="D465" s="119">
        <f t="shared" si="104"/>
        <v>0</v>
      </c>
      <c r="E465" s="13">
        <f t="shared" si="105"/>
        <v>0</v>
      </c>
      <c r="F465" s="13">
        <f t="shared" si="106"/>
        <v>0</v>
      </c>
      <c r="G465" s="13">
        <f t="shared" si="107"/>
        <v>0</v>
      </c>
      <c r="I465" s="120">
        <f t="shared" si="99"/>
        <v>0</v>
      </c>
      <c r="J465" s="120">
        <f t="shared" si="100"/>
        <v>0</v>
      </c>
      <c r="L465" s="13">
        <f t="shared" si="101"/>
        <v>0</v>
      </c>
      <c r="M465" s="13">
        <f t="shared" si="102"/>
        <v>0</v>
      </c>
    </row>
    <row r="466" spans="2:19" x14ac:dyDescent="0.2">
      <c r="B466" s="2">
        <v>456</v>
      </c>
      <c r="C466" s="13">
        <f t="shared" si="103"/>
        <v>0</v>
      </c>
      <c r="D466" s="119">
        <f t="shared" si="104"/>
        <v>0</v>
      </c>
      <c r="E466" s="13">
        <f t="shared" si="105"/>
        <v>0</v>
      </c>
      <c r="F466" s="13">
        <f t="shared" si="106"/>
        <v>0</v>
      </c>
      <c r="G466" s="13">
        <f t="shared" si="107"/>
        <v>0</v>
      </c>
      <c r="I466" s="120">
        <f t="shared" si="99"/>
        <v>0</v>
      </c>
      <c r="J466" s="120">
        <f t="shared" si="100"/>
        <v>0</v>
      </c>
      <c r="L466" s="13">
        <f t="shared" si="101"/>
        <v>0</v>
      </c>
      <c r="M466" s="13">
        <f t="shared" si="102"/>
        <v>0</v>
      </c>
      <c r="R466" s="129">
        <f t="shared" ref="R466:S466" si="108">SUM(L455:L466)</f>
        <v>0</v>
      </c>
      <c r="S466" s="129">
        <f t="shared" si="108"/>
        <v>0</v>
      </c>
    </row>
    <row r="467" spans="2:19" x14ac:dyDescent="0.2">
      <c r="B467" s="2">
        <v>457</v>
      </c>
      <c r="C467" s="13">
        <f t="shared" si="103"/>
        <v>0</v>
      </c>
      <c r="D467" s="119">
        <f t="shared" si="104"/>
        <v>0</v>
      </c>
      <c r="E467" s="13">
        <f t="shared" si="105"/>
        <v>0</v>
      </c>
      <c r="F467" s="13">
        <f t="shared" si="106"/>
        <v>0</v>
      </c>
      <c r="G467" s="13">
        <f t="shared" si="107"/>
        <v>0</v>
      </c>
      <c r="I467" s="120">
        <f t="shared" si="99"/>
        <v>0</v>
      </c>
      <c r="J467" s="120">
        <f t="shared" si="100"/>
        <v>0</v>
      </c>
      <c r="L467" s="13">
        <f t="shared" si="101"/>
        <v>0</v>
      </c>
      <c r="M467" s="13">
        <f t="shared" si="102"/>
        <v>0</v>
      </c>
    </row>
    <row r="468" spans="2:19" x14ac:dyDescent="0.2">
      <c r="B468" s="2">
        <v>458</v>
      </c>
      <c r="C468" s="13">
        <f t="shared" si="103"/>
        <v>0</v>
      </c>
      <c r="D468" s="119">
        <f t="shared" si="104"/>
        <v>0</v>
      </c>
      <c r="E468" s="13">
        <f t="shared" si="105"/>
        <v>0</v>
      </c>
      <c r="F468" s="13">
        <f t="shared" si="106"/>
        <v>0</v>
      </c>
      <c r="G468" s="13">
        <f t="shared" si="107"/>
        <v>0</v>
      </c>
      <c r="I468" s="120">
        <f t="shared" si="99"/>
        <v>0</v>
      </c>
      <c r="J468" s="120">
        <f t="shared" si="100"/>
        <v>0</v>
      </c>
      <c r="L468" s="13">
        <f t="shared" si="101"/>
        <v>0</v>
      </c>
      <c r="M468" s="13">
        <f t="shared" si="102"/>
        <v>0</v>
      </c>
    </row>
    <row r="469" spans="2:19" x14ac:dyDescent="0.2">
      <c r="B469" s="2">
        <v>459</v>
      </c>
      <c r="C469" s="13">
        <f t="shared" si="103"/>
        <v>0</v>
      </c>
      <c r="D469" s="119">
        <f t="shared" si="104"/>
        <v>0</v>
      </c>
      <c r="E469" s="13">
        <f t="shared" si="105"/>
        <v>0</v>
      </c>
      <c r="F469" s="13">
        <f t="shared" si="106"/>
        <v>0</v>
      </c>
      <c r="G469" s="13">
        <f t="shared" si="107"/>
        <v>0</v>
      </c>
      <c r="I469" s="120">
        <f t="shared" si="99"/>
        <v>0</v>
      </c>
      <c r="J469" s="120">
        <f t="shared" si="100"/>
        <v>0</v>
      </c>
      <c r="L469" s="13">
        <f t="shared" si="101"/>
        <v>0</v>
      </c>
      <c r="M469" s="13">
        <f t="shared" si="102"/>
        <v>0</v>
      </c>
    </row>
    <row r="470" spans="2:19" x14ac:dyDescent="0.2">
      <c r="B470" s="2">
        <v>460</v>
      </c>
      <c r="C470" s="13">
        <f t="shared" si="103"/>
        <v>0</v>
      </c>
      <c r="D470" s="119">
        <f t="shared" si="104"/>
        <v>0</v>
      </c>
      <c r="E470" s="13">
        <f t="shared" si="105"/>
        <v>0</v>
      </c>
      <c r="F470" s="13">
        <f t="shared" si="106"/>
        <v>0</v>
      </c>
      <c r="G470" s="13">
        <f t="shared" si="107"/>
        <v>0</v>
      </c>
      <c r="I470" s="120">
        <f t="shared" si="99"/>
        <v>0</v>
      </c>
      <c r="J470" s="120">
        <f t="shared" si="100"/>
        <v>0</v>
      </c>
      <c r="L470" s="13">
        <f t="shared" si="101"/>
        <v>0</v>
      </c>
      <c r="M470" s="13">
        <f t="shared" si="102"/>
        <v>0</v>
      </c>
    </row>
    <row r="471" spans="2:19" x14ac:dyDescent="0.2">
      <c r="B471" s="2">
        <v>461</v>
      </c>
      <c r="C471" s="13">
        <f t="shared" si="103"/>
        <v>0</v>
      </c>
      <c r="D471" s="119">
        <f t="shared" si="104"/>
        <v>0</v>
      </c>
      <c r="E471" s="13">
        <f t="shared" si="105"/>
        <v>0</v>
      </c>
      <c r="F471" s="13">
        <f t="shared" si="106"/>
        <v>0</v>
      </c>
      <c r="G471" s="13">
        <f t="shared" si="107"/>
        <v>0</v>
      </c>
      <c r="I471" s="120">
        <f t="shared" si="99"/>
        <v>0</v>
      </c>
      <c r="J471" s="120">
        <f t="shared" si="100"/>
        <v>0</v>
      </c>
      <c r="L471" s="13">
        <f t="shared" si="101"/>
        <v>0</v>
      </c>
      <c r="M471" s="13">
        <f t="shared" si="102"/>
        <v>0</v>
      </c>
    </row>
    <row r="472" spans="2:19" x14ac:dyDescent="0.2">
      <c r="B472" s="2">
        <v>462</v>
      </c>
      <c r="C472" s="13">
        <f t="shared" si="103"/>
        <v>0</v>
      </c>
      <c r="D472" s="119">
        <f t="shared" si="104"/>
        <v>0</v>
      </c>
      <c r="E472" s="13">
        <f t="shared" si="105"/>
        <v>0</v>
      </c>
      <c r="F472" s="13">
        <f t="shared" si="106"/>
        <v>0</v>
      </c>
      <c r="G472" s="13">
        <f t="shared" si="107"/>
        <v>0</v>
      </c>
      <c r="I472" s="120">
        <f t="shared" si="99"/>
        <v>0</v>
      </c>
      <c r="J472" s="120">
        <f t="shared" si="100"/>
        <v>0</v>
      </c>
      <c r="L472" s="13">
        <f t="shared" si="101"/>
        <v>0</v>
      </c>
      <c r="M472" s="13">
        <f t="shared" si="102"/>
        <v>0</v>
      </c>
    </row>
    <row r="473" spans="2:19" x14ac:dyDescent="0.2">
      <c r="B473" s="2">
        <v>463</v>
      </c>
      <c r="C473" s="13">
        <f t="shared" si="103"/>
        <v>0</v>
      </c>
      <c r="D473" s="119">
        <f t="shared" si="104"/>
        <v>0</v>
      </c>
      <c r="E473" s="13">
        <f t="shared" si="105"/>
        <v>0</v>
      </c>
      <c r="F473" s="13">
        <f t="shared" si="106"/>
        <v>0</v>
      </c>
      <c r="G473" s="13">
        <f t="shared" si="107"/>
        <v>0</v>
      </c>
      <c r="I473" s="120">
        <f t="shared" si="99"/>
        <v>0</v>
      </c>
      <c r="J473" s="120">
        <f t="shared" si="100"/>
        <v>0</v>
      </c>
      <c r="L473" s="13">
        <f t="shared" si="101"/>
        <v>0</v>
      </c>
      <c r="M473" s="13">
        <f t="shared" si="102"/>
        <v>0</v>
      </c>
    </row>
    <row r="474" spans="2:19" x14ac:dyDescent="0.2">
      <c r="B474" s="2">
        <v>464</v>
      </c>
      <c r="C474" s="13">
        <f t="shared" si="103"/>
        <v>0</v>
      </c>
      <c r="D474" s="119">
        <f t="shared" si="104"/>
        <v>0</v>
      </c>
      <c r="E474" s="13">
        <f t="shared" si="105"/>
        <v>0</v>
      </c>
      <c r="F474" s="13">
        <f t="shared" si="106"/>
        <v>0</v>
      </c>
      <c r="G474" s="13">
        <f t="shared" si="107"/>
        <v>0</v>
      </c>
      <c r="I474" s="120">
        <f t="shared" si="99"/>
        <v>0</v>
      </c>
      <c r="J474" s="120">
        <f t="shared" si="100"/>
        <v>0</v>
      </c>
      <c r="L474" s="13">
        <f t="shared" si="101"/>
        <v>0</v>
      </c>
      <c r="M474" s="13">
        <f t="shared" si="102"/>
        <v>0</v>
      </c>
    </row>
    <row r="475" spans="2:19" x14ac:dyDescent="0.2">
      <c r="B475" s="2">
        <v>465</v>
      </c>
      <c r="C475" s="13">
        <f t="shared" si="103"/>
        <v>0</v>
      </c>
      <c r="D475" s="119">
        <f t="shared" si="104"/>
        <v>0</v>
      </c>
      <c r="E475" s="13">
        <f t="shared" si="105"/>
        <v>0</v>
      </c>
      <c r="F475" s="13">
        <f t="shared" si="106"/>
        <v>0</v>
      </c>
      <c r="G475" s="13">
        <f t="shared" si="107"/>
        <v>0</v>
      </c>
      <c r="I475" s="120">
        <f t="shared" si="99"/>
        <v>0</v>
      </c>
      <c r="J475" s="120">
        <f t="shared" si="100"/>
        <v>0</v>
      </c>
      <c r="L475" s="13">
        <f t="shared" si="101"/>
        <v>0</v>
      </c>
      <c r="M475" s="13">
        <f t="shared" si="102"/>
        <v>0</v>
      </c>
    </row>
    <row r="476" spans="2:19" x14ac:dyDescent="0.2">
      <c r="B476" s="2">
        <v>466</v>
      </c>
      <c r="C476" s="13">
        <f t="shared" si="103"/>
        <v>0</v>
      </c>
      <c r="D476" s="119">
        <f t="shared" si="104"/>
        <v>0</v>
      </c>
      <c r="E476" s="13">
        <f t="shared" si="105"/>
        <v>0</v>
      </c>
      <c r="F476" s="13">
        <f t="shared" si="106"/>
        <v>0</v>
      </c>
      <c r="G476" s="13">
        <f t="shared" si="107"/>
        <v>0</v>
      </c>
      <c r="I476" s="120">
        <f t="shared" si="99"/>
        <v>0</v>
      </c>
      <c r="J476" s="120">
        <f t="shared" si="100"/>
        <v>0</v>
      </c>
      <c r="L476" s="13">
        <f t="shared" si="101"/>
        <v>0</v>
      </c>
      <c r="M476" s="13">
        <f t="shared" si="102"/>
        <v>0</v>
      </c>
    </row>
    <row r="477" spans="2:19" x14ac:dyDescent="0.2">
      <c r="B477" s="2">
        <v>467</v>
      </c>
      <c r="C477" s="13">
        <f t="shared" si="103"/>
        <v>0</v>
      </c>
      <c r="D477" s="119">
        <f t="shared" si="104"/>
        <v>0</v>
      </c>
      <c r="E477" s="13">
        <f t="shared" si="105"/>
        <v>0</v>
      </c>
      <c r="F477" s="13">
        <f t="shared" si="106"/>
        <v>0</v>
      </c>
      <c r="G477" s="13">
        <f t="shared" si="107"/>
        <v>0</v>
      </c>
      <c r="I477" s="120">
        <f t="shared" si="99"/>
        <v>0</v>
      </c>
      <c r="J477" s="120">
        <f t="shared" si="100"/>
        <v>0</v>
      </c>
      <c r="L477" s="13">
        <f t="shared" si="101"/>
        <v>0</v>
      </c>
      <c r="M477" s="13">
        <f t="shared" si="102"/>
        <v>0</v>
      </c>
    </row>
    <row r="478" spans="2:19" x14ac:dyDescent="0.2">
      <c r="B478" s="2">
        <v>468</v>
      </c>
      <c r="C478" s="13">
        <f t="shared" si="103"/>
        <v>0</v>
      </c>
      <c r="D478" s="119">
        <f t="shared" si="104"/>
        <v>0</v>
      </c>
      <c r="E478" s="13">
        <f t="shared" si="105"/>
        <v>0</v>
      </c>
      <c r="F478" s="13">
        <f t="shared" si="106"/>
        <v>0</v>
      </c>
      <c r="G478" s="13">
        <f t="shared" si="107"/>
        <v>0</v>
      </c>
      <c r="I478" s="120">
        <f t="shared" si="99"/>
        <v>0</v>
      </c>
      <c r="J478" s="120">
        <f t="shared" si="100"/>
        <v>0</v>
      </c>
      <c r="L478" s="13">
        <f t="shared" si="101"/>
        <v>0</v>
      </c>
      <c r="M478" s="13">
        <f t="shared" si="102"/>
        <v>0</v>
      </c>
      <c r="R478" s="129">
        <f t="shared" ref="R478:S478" si="109">SUM(L467:L478)</f>
        <v>0</v>
      </c>
      <c r="S478" s="129">
        <f t="shared" si="109"/>
        <v>0</v>
      </c>
    </row>
    <row r="479" spans="2:19" x14ac:dyDescent="0.2">
      <c r="B479" s="2">
        <v>469</v>
      </c>
      <c r="C479" s="13">
        <f t="shared" si="103"/>
        <v>0</v>
      </c>
      <c r="D479" s="119">
        <f t="shared" si="104"/>
        <v>0</v>
      </c>
      <c r="E479" s="13">
        <f t="shared" si="105"/>
        <v>0</v>
      </c>
      <c r="F479" s="13">
        <f t="shared" si="106"/>
        <v>0</v>
      </c>
      <c r="G479" s="13">
        <f t="shared" si="107"/>
        <v>0</v>
      </c>
      <c r="I479" s="120">
        <f t="shared" si="99"/>
        <v>0</v>
      </c>
      <c r="J479" s="120">
        <f t="shared" si="100"/>
        <v>0</v>
      </c>
      <c r="L479" s="13">
        <f t="shared" si="101"/>
        <v>0</v>
      </c>
      <c r="M479" s="13">
        <f t="shared" si="102"/>
        <v>0</v>
      </c>
    </row>
    <row r="480" spans="2:19" x14ac:dyDescent="0.2">
      <c r="B480" s="2">
        <v>470</v>
      </c>
      <c r="C480" s="13">
        <f t="shared" si="103"/>
        <v>0</v>
      </c>
      <c r="D480" s="119">
        <f t="shared" si="104"/>
        <v>0</v>
      </c>
      <c r="E480" s="13">
        <f t="shared" si="105"/>
        <v>0</v>
      </c>
      <c r="F480" s="13">
        <f t="shared" si="106"/>
        <v>0</v>
      </c>
      <c r="G480" s="13">
        <f t="shared" si="107"/>
        <v>0</v>
      </c>
      <c r="I480" s="120">
        <f t="shared" si="99"/>
        <v>0</v>
      </c>
      <c r="J480" s="120">
        <f t="shared" si="100"/>
        <v>0</v>
      </c>
      <c r="L480" s="13">
        <f t="shared" si="101"/>
        <v>0</v>
      </c>
      <c r="M480" s="13">
        <f t="shared" si="102"/>
        <v>0</v>
      </c>
    </row>
    <row r="481" spans="2:19" x14ac:dyDescent="0.2">
      <c r="B481" s="2">
        <v>471</v>
      </c>
      <c r="C481" s="13">
        <f t="shared" si="103"/>
        <v>0</v>
      </c>
      <c r="D481" s="119">
        <f t="shared" si="104"/>
        <v>0</v>
      </c>
      <c r="E481" s="13">
        <f t="shared" si="105"/>
        <v>0</v>
      </c>
      <c r="F481" s="13">
        <f t="shared" si="106"/>
        <v>0</v>
      </c>
      <c r="G481" s="13">
        <f t="shared" si="107"/>
        <v>0</v>
      </c>
      <c r="I481" s="120">
        <f t="shared" si="99"/>
        <v>0</v>
      </c>
      <c r="J481" s="120">
        <f t="shared" si="100"/>
        <v>0</v>
      </c>
      <c r="L481" s="13">
        <f t="shared" si="101"/>
        <v>0</v>
      </c>
      <c r="M481" s="13">
        <f t="shared" si="102"/>
        <v>0</v>
      </c>
    </row>
    <row r="482" spans="2:19" x14ac:dyDescent="0.2">
      <c r="B482" s="2">
        <v>472</v>
      </c>
      <c r="C482" s="13">
        <f t="shared" si="103"/>
        <v>0</v>
      </c>
      <c r="D482" s="119">
        <f t="shared" si="104"/>
        <v>0</v>
      </c>
      <c r="E482" s="13">
        <f t="shared" si="105"/>
        <v>0</v>
      </c>
      <c r="F482" s="13">
        <f t="shared" si="106"/>
        <v>0</v>
      </c>
      <c r="G482" s="13">
        <f t="shared" si="107"/>
        <v>0</v>
      </c>
      <c r="I482" s="120">
        <f t="shared" si="99"/>
        <v>0</v>
      </c>
      <c r="J482" s="120">
        <f t="shared" si="100"/>
        <v>0</v>
      </c>
      <c r="L482" s="13">
        <f t="shared" si="101"/>
        <v>0</v>
      </c>
      <c r="M482" s="13">
        <f t="shared" si="102"/>
        <v>0</v>
      </c>
    </row>
    <row r="483" spans="2:19" x14ac:dyDescent="0.2">
      <c r="B483" s="2">
        <v>473</v>
      </c>
      <c r="C483" s="13">
        <f t="shared" si="103"/>
        <v>0</v>
      </c>
      <c r="D483" s="119">
        <f t="shared" si="104"/>
        <v>0</v>
      </c>
      <c r="E483" s="13">
        <f t="shared" si="105"/>
        <v>0</v>
      </c>
      <c r="F483" s="13">
        <f t="shared" si="106"/>
        <v>0</v>
      </c>
      <c r="G483" s="13">
        <f t="shared" si="107"/>
        <v>0</v>
      </c>
      <c r="I483" s="120">
        <f t="shared" si="99"/>
        <v>0</v>
      </c>
      <c r="J483" s="120">
        <f t="shared" si="100"/>
        <v>0</v>
      </c>
      <c r="L483" s="13">
        <f t="shared" si="101"/>
        <v>0</v>
      </c>
      <c r="M483" s="13">
        <f t="shared" si="102"/>
        <v>0</v>
      </c>
    </row>
    <row r="484" spans="2:19" x14ac:dyDescent="0.2">
      <c r="B484" s="2">
        <v>474</v>
      </c>
      <c r="C484" s="13">
        <f t="shared" si="103"/>
        <v>0</v>
      </c>
      <c r="D484" s="119">
        <f t="shared" si="104"/>
        <v>0</v>
      </c>
      <c r="E484" s="13">
        <f t="shared" si="105"/>
        <v>0</v>
      </c>
      <c r="F484" s="13">
        <f t="shared" si="106"/>
        <v>0</v>
      </c>
      <c r="G484" s="13">
        <f t="shared" si="107"/>
        <v>0</v>
      </c>
      <c r="I484" s="120">
        <f t="shared" si="99"/>
        <v>0</v>
      </c>
      <c r="J484" s="120">
        <f t="shared" si="100"/>
        <v>0</v>
      </c>
      <c r="L484" s="13">
        <f t="shared" si="101"/>
        <v>0</v>
      </c>
      <c r="M484" s="13">
        <f t="shared" si="102"/>
        <v>0</v>
      </c>
    </row>
    <row r="485" spans="2:19" x14ac:dyDescent="0.2">
      <c r="B485" s="2">
        <v>475</v>
      </c>
      <c r="C485" s="13">
        <f t="shared" si="103"/>
        <v>0</v>
      </c>
      <c r="D485" s="119">
        <f t="shared" si="104"/>
        <v>0</v>
      </c>
      <c r="E485" s="13">
        <f t="shared" si="105"/>
        <v>0</v>
      </c>
      <c r="F485" s="13">
        <f t="shared" si="106"/>
        <v>0</v>
      </c>
      <c r="G485" s="13">
        <f t="shared" si="107"/>
        <v>0</v>
      </c>
      <c r="I485" s="120">
        <f t="shared" si="99"/>
        <v>0</v>
      </c>
      <c r="J485" s="120">
        <f t="shared" si="100"/>
        <v>0</v>
      </c>
      <c r="L485" s="13">
        <f t="shared" si="101"/>
        <v>0</v>
      </c>
      <c r="M485" s="13">
        <f t="shared" si="102"/>
        <v>0</v>
      </c>
    </row>
    <row r="486" spans="2:19" x14ac:dyDescent="0.2">
      <c r="B486" s="2">
        <v>476</v>
      </c>
      <c r="C486" s="13">
        <f t="shared" si="103"/>
        <v>0</v>
      </c>
      <c r="D486" s="119">
        <f t="shared" si="104"/>
        <v>0</v>
      </c>
      <c r="E486" s="13">
        <f t="shared" si="105"/>
        <v>0</v>
      </c>
      <c r="F486" s="13">
        <f t="shared" si="106"/>
        <v>0</v>
      </c>
      <c r="G486" s="13">
        <f t="shared" si="107"/>
        <v>0</v>
      </c>
      <c r="I486" s="120">
        <f t="shared" si="99"/>
        <v>0</v>
      </c>
      <c r="J486" s="120">
        <f t="shared" si="100"/>
        <v>0</v>
      </c>
      <c r="L486" s="13">
        <f t="shared" si="101"/>
        <v>0</v>
      </c>
      <c r="M486" s="13">
        <f t="shared" si="102"/>
        <v>0</v>
      </c>
    </row>
    <row r="487" spans="2:19" x14ac:dyDescent="0.2">
      <c r="B487" s="2">
        <v>477</v>
      </c>
      <c r="C487" s="13">
        <f t="shared" si="103"/>
        <v>0</v>
      </c>
      <c r="D487" s="119">
        <f t="shared" si="104"/>
        <v>0</v>
      </c>
      <c r="E487" s="13">
        <f t="shared" si="105"/>
        <v>0</v>
      </c>
      <c r="F487" s="13">
        <f t="shared" si="106"/>
        <v>0</v>
      </c>
      <c r="G487" s="13">
        <f t="shared" si="107"/>
        <v>0</v>
      </c>
      <c r="I487" s="120">
        <f t="shared" si="99"/>
        <v>0</v>
      </c>
      <c r="J487" s="120">
        <f t="shared" si="100"/>
        <v>0</v>
      </c>
      <c r="L487" s="13">
        <f t="shared" si="101"/>
        <v>0</v>
      </c>
      <c r="M487" s="13">
        <f t="shared" si="102"/>
        <v>0</v>
      </c>
    </row>
    <row r="488" spans="2:19" x14ac:dyDescent="0.2">
      <c r="B488" s="2">
        <v>478</v>
      </c>
      <c r="C488" s="13">
        <f t="shared" si="103"/>
        <v>0</v>
      </c>
      <c r="D488" s="119">
        <f t="shared" si="104"/>
        <v>0</v>
      </c>
      <c r="E488" s="13">
        <f t="shared" si="105"/>
        <v>0</v>
      </c>
      <c r="F488" s="13">
        <f t="shared" si="106"/>
        <v>0</v>
      </c>
      <c r="G488" s="13">
        <f t="shared" si="107"/>
        <v>0</v>
      </c>
      <c r="I488" s="120">
        <f t="shared" si="99"/>
        <v>0</v>
      </c>
      <c r="J488" s="120">
        <f t="shared" si="100"/>
        <v>0</v>
      </c>
      <c r="L488" s="13">
        <f t="shared" si="101"/>
        <v>0</v>
      </c>
      <c r="M488" s="13">
        <f t="shared" si="102"/>
        <v>0</v>
      </c>
    </row>
    <row r="489" spans="2:19" x14ac:dyDescent="0.2">
      <c r="B489" s="2">
        <v>479</v>
      </c>
      <c r="C489" s="13">
        <f t="shared" si="103"/>
        <v>0</v>
      </c>
      <c r="D489" s="119">
        <f t="shared" si="104"/>
        <v>0</v>
      </c>
      <c r="E489" s="13">
        <f t="shared" si="105"/>
        <v>0</v>
      </c>
      <c r="F489" s="13">
        <f t="shared" si="106"/>
        <v>0</v>
      </c>
      <c r="G489" s="13">
        <f t="shared" si="107"/>
        <v>0</v>
      </c>
      <c r="I489" s="120">
        <f t="shared" si="99"/>
        <v>0</v>
      </c>
      <c r="J489" s="120">
        <f t="shared" si="100"/>
        <v>0</v>
      </c>
      <c r="L489" s="13">
        <f t="shared" si="101"/>
        <v>0</v>
      </c>
      <c r="M489" s="13">
        <f t="shared" si="102"/>
        <v>0</v>
      </c>
    </row>
    <row r="490" spans="2:19" x14ac:dyDescent="0.2">
      <c r="B490" s="2">
        <v>480</v>
      </c>
      <c r="C490" s="13">
        <f t="shared" si="103"/>
        <v>0</v>
      </c>
      <c r="D490" s="119">
        <f t="shared" si="104"/>
        <v>0</v>
      </c>
      <c r="E490" s="13">
        <f t="shared" si="105"/>
        <v>0</v>
      </c>
      <c r="F490" s="13">
        <f t="shared" si="106"/>
        <v>0</v>
      </c>
      <c r="G490" s="13">
        <f t="shared" si="107"/>
        <v>0</v>
      </c>
      <c r="I490" s="120">
        <f t="shared" si="99"/>
        <v>0</v>
      </c>
      <c r="J490" s="120">
        <f t="shared" si="100"/>
        <v>0</v>
      </c>
      <c r="L490" s="13">
        <f t="shared" si="101"/>
        <v>0</v>
      </c>
      <c r="M490" s="13">
        <f t="shared" si="102"/>
        <v>0</v>
      </c>
      <c r="R490" s="129">
        <f t="shared" ref="R490:S490" si="110">SUM(L479:L490)</f>
        <v>0</v>
      </c>
      <c r="S490" s="129">
        <f t="shared" si="110"/>
        <v>0</v>
      </c>
    </row>
    <row r="491" spans="2:19" x14ac:dyDescent="0.2">
      <c r="B491" s="2">
        <v>481</v>
      </c>
      <c r="C491" s="13">
        <f t="shared" si="103"/>
        <v>0</v>
      </c>
      <c r="D491" s="119">
        <f t="shared" si="104"/>
        <v>0</v>
      </c>
      <c r="E491" s="13">
        <f t="shared" si="105"/>
        <v>0</v>
      </c>
      <c r="F491" s="13">
        <f t="shared" si="106"/>
        <v>0</v>
      </c>
      <c r="G491" s="13">
        <f t="shared" si="107"/>
        <v>0</v>
      </c>
      <c r="I491" s="120">
        <f t="shared" si="99"/>
        <v>0</v>
      </c>
      <c r="J491" s="120">
        <f t="shared" si="100"/>
        <v>0</v>
      </c>
      <c r="L491" s="13">
        <f t="shared" si="101"/>
        <v>0</v>
      </c>
      <c r="M491" s="13">
        <f t="shared" si="102"/>
        <v>0</v>
      </c>
    </row>
    <row r="492" spans="2:19" x14ac:dyDescent="0.2">
      <c r="B492" s="2">
        <v>482</v>
      </c>
      <c r="C492" s="13">
        <f t="shared" si="103"/>
        <v>0</v>
      </c>
      <c r="D492" s="119">
        <f t="shared" si="104"/>
        <v>0</v>
      </c>
      <c r="E492" s="13">
        <f t="shared" si="105"/>
        <v>0</v>
      </c>
      <c r="F492" s="13">
        <f t="shared" si="106"/>
        <v>0</v>
      </c>
      <c r="G492" s="13">
        <f t="shared" si="107"/>
        <v>0</v>
      </c>
      <c r="I492" s="120">
        <f t="shared" si="99"/>
        <v>0</v>
      </c>
      <c r="J492" s="120">
        <f t="shared" si="100"/>
        <v>0</v>
      </c>
      <c r="L492" s="13">
        <f t="shared" si="101"/>
        <v>0</v>
      </c>
      <c r="M492" s="13">
        <f t="shared" si="102"/>
        <v>0</v>
      </c>
    </row>
    <row r="493" spans="2:19" x14ac:dyDescent="0.2">
      <c r="B493" s="2">
        <v>483</v>
      </c>
      <c r="C493" s="13">
        <f t="shared" si="103"/>
        <v>0</v>
      </c>
      <c r="D493" s="119">
        <f t="shared" si="104"/>
        <v>0</v>
      </c>
      <c r="E493" s="13">
        <f t="shared" si="105"/>
        <v>0</v>
      </c>
      <c r="F493" s="13">
        <f t="shared" si="106"/>
        <v>0</v>
      </c>
      <c r="G493" s="13">
        <f t="shared" si="107"/>
        <v>0</v>
      </c>
      <c r="I493" s="120">
        <f t="shared" si="99"/>
        <v>0</v>
      </c>
      <c r="J493" s="120">
        <f t="shared" si="100"/>
        <v>0</v>
      </c>
      <c r="L493" s="13">
        <f t="shared" si="101"/>
        <v>0</v>
      </c>
      <c r="M493" s="13">
        <f t="shared" si="102"/>
        <v>0</v>
      </c>
    </row>
    <row r="494" spans="2:19" x14ac:dyDescent="0.2">
      <c r="B494" s="2">
        <v>484</v>
      </c>
      <c r="C494" s="13">
        <f t="shared" si="103"/>
        <v>0</v>
      </c>
      <c r="D494" s="119">
        <f t="shared" si="104"/>
        <v>0</v>
      </c>
      <c r="E494" s="13">
        <f t="shared" si="105"/>
        <v>0</v>
      </c>
      <c r="F494" s="13">
        <f t="shared" si="106"/>
        <v>0</v>
      </c>
      <c r="G494" s="13">
        <f t="shared" si="107"/>
        <v>0</v>
      </c>
      <c r="I494" s="120">
        <f t="shared" si="99"/>
        <v>0</v>
      </c>
      <c r="J494" s="120">
        <f t="shared" si="100"/>
        <v>0</v>
      </c>
      <c r="L494" s="13">
        <f t="shared" si="101"/>
        <v>0</v>
      </c>
      <c r="M494" s="13">
        <f t="shared" si="102"/>
        <v>0</v>
      </c>
    </row>
    <row r="495" spans="2:19" x14ac:dyDescent="0.2">
      <c r="B495" s="2">
        <v>485</v>
      </c>
      <c r="C495" s="13">
        <f t="shared" si="103"/>
        <v>0</v>
      </c>
      <c r="D495" s="119">
        <f t="shared" si="104"/>
        <v>0</v>
      </c>
      <c r="E495" s="13">
        <f t="shared" si="105"/>
        <v>0</v>
      </c>
      <c r="F495" s="13">
        <f t="shared" si="106"/>
        <v>0</v>
      </c>
      <c r="G495" s="13">
        <f t="shared" si="107"/>
        <v>0</v>
      </c>
      <c r="I495" s="120">
        <f t="shared" si="99"/>
        <v>0</v>
      </c>
      <c r="J495" s="120">
        <f t="shared" si="100"/>
        <v>0</v>
      </c>
      <c r="L495" s="13">
        <f t="shared" si="101"/>
        <v>0</v>
      </c>
      <c r="M495" s="13">
        <f t="shared" si="102"/>
        <v>0</v>
      </c>
    </row>
    <row r="496" spans="2:19" x14ac:dyDescent="0.2">
      <c r="B496" s="2">
        <v>486</v>
      </c>
      <c r="C496" s="13">
        <f t="shared" si="103"/>
        <v>0</v>
      </c>
      <c r="D496" s="119">
        <f t="shared" si="104"/>
        <v>0</v>
      </c>
      <c r="E496" s="13">
        <f t="shared" si="105"/>
        <v>0</v>
      </c>
      <c r="F496" s="13">
        <f t="shared" si="106"/>
        <v>0</v>
      </c>
      <c r="G496" s="13">
        <f t="shared" si="107"/>
        <v>0</v>
      </c>
      <c r="I496" s="120">
        <f t="shared" si="99"/>
        <v>0</v>
      </c>
      <c r="J496" s="120">
        <f t="shared" si="100"/>
        <v>0</v>
      </c>
      <c r="L496" s="13">
        <f t="shared" si="101"/>
        <v>0</v>
      </c>
      <c r="M496" s="13">
        <f t="shared" si="102"/>
        <v>0</v>
      </c>
    </row>
    <row r="497" spans="2:19" x14ac:dyDescent="0.2">
      <c r="B497" s="2">
        <v>487</v>
      </c>
      <c r="C497" s="13">
        <f t="shared" si="103"/>
        <v>0</v>
      </c>
      <c r="D497" s="119">
        <f t="shared" si="104"/>
        <v>0</v>
      </c>
      <c r="E497" s="13">
        <f t="shared" si="105"/>
        <v>0</v>
      </c>
      <c r="F497" s="13">
        <f t="shared" si="106"/>
        <v>0</v>
      </c>
      <c r="G497" s="13">
        <f t="shared" si="107"/>
        <v>0</v>
      </c>
      <c r="I497" s="120">
        <f t="shared" si="99"/>
        <v>0</v>
      </c>
      <c r="J497" s="120">
        <f t="shared" si="100"/>
        <v>0</v>
      </c>
      <c r="L497" s="13">
        <f t="shared" si="101"/>
        <v>0</v>
      </c>
      <c r="M497" s="13">
        <f t="shared" si="102"/>
        <v>0</v>
      </c>
    </row>
    <row r="498" spans="2:19" x14ac:dyDescent="0.2">
      <c r="B498" s="2">
        <v>488</v>
      </c>
      <c r="C498" s="13">
        <f t="shared" si="103"/>
        <v>0</v>
      </c>
      <c r="D498" s="119">
        <f t="shared" si="104"/>
        <v>0</v>
      </c>
      <c r="E498" s="13">
        <f t="shared" si="105"/>
        <v>0</v>
      </c>
      <c r="F498" s="13">
        <f t="shared" si="106"/>
        <v>0</v>
      </c>
      <c r="G498" s="13">
        <f t="shared" si="107"/>
        <v>0</v>
      </c>
      <c r="I498" s="120">
        <f t="shared" si="99"/>
        <v>0</v>
      </c>
      <c r="J498" s="120">
        <f t="shared" si="100"/>
        <v>0</v>
      </c>
      <c r="L498" s="13">
        <f t="shared" si="101"/>
        <v>0</v>
      </c>
      <c r="M498" s="13">
        <f t="shared" si="102"/>
        <v>0</v>
      </c>
    </row>
    <row r="499" spans="2:19" x14ac:dyDescent="0.2">
      <c r="B499" s="2">
        <v>489</v>
      </c>
      <c r="C499" s="13">
        <f t="shared" si="103"/>
        <v>0</v>
      </c>
      <c r="D499" s="119">
        <f t="shared" si="104"/>
        <v>0</v>
      </c>
      <c r="E499" s="13">
        <f t="shared" si="105"/>
        <v>0</v>
      </c>
      <c r="F499" s="13">
        <f t="shared" si="106"/>
        <v>0</v>
      </c>
      <c r="G499" s="13">
        <f t="shared" si="107"/>
        <v>0</v>
      </c>
      <c r="I499" s="120">
        <f t="shared" si="99"/>
        <v>0</v>
      </c>
      <c r="J499" s="120">
        <f t="shared" si="100"/>
        <v>0</v>
      </c>
      <c r="L499" s="13">
        <f t="shared" si="101"/>
        <v>0</v>
      </c>
      <c r="M499" s="13">
        <f t="shared" si="102"/>
        <v>0</v>
      </c>
    </row>
    <row r="500" spans="2:19" x14ac:dyDescent="0.2">
      <c r="B500" s="2">
        <v>490</v>
      </c>
      <c r="C500" s="13">
        <f t="shared" si="103"/>
        <v>0</v>
      </c>
      <c r="D500" s="119">
        <f t="shared" si="104"/>
        <v>0</v>
      </c>
      <c r="E500" s="13">
        <f t="shared" si="105"/>
        <v>0</v>
      </c>
      <c r="F500" s="13">
        <f t="shared" si="106"/>
        <v>0</v>
      </c>
      <c r="G500" s="13">
        <f t="shared" si="107"/>
        <v>0</v>
      </c>
      <c r="I500" s="120">
        <f t="shared" si="99"/>
        <v>0</v>
      </c>
      <c r="J500" s="120">
        <f t="shared" si="100"/>
        <v>0</v>
      </c>
      <c r="L500" s="13">
        <f t="shared" si="101"/>
        <v>0</v>
      </c>
      <c r="M500" s="13">
        <f t="shared" si="102"/>
        <v>0</v>
      </c>
    </row>
    <row r="501" spans="2:19" x14ac:dyDescent="0.2">
      <c r="B501" s="2">
        <v>491</v>
      </c>
      <c r="C501" s="13">
        <f t="shared" si="103"/>
        <v>0</v>
      </c>
      <c r="D501" s="119">
        <f t="shared" si="104"/>
        <v>0</v>
      </c>
      <c r="E501" s="13">
        <f t="shared" si="105"/>
        <v>0</v>
      </c>
      <c r="F501" s="13">
        <f t="shared" si="106"/>
        <v>0</v>
      </c>
      <c r="G501" s="13">
        <f t="shared" si="107"/>
        <v>0</v>
      </c>
      <c r="I501" s="120">
        <f t="shared" si="99"/>
        <v>0</v>
      </c>
      <c r="J501" s="120">
        <f t="shared" si="100"/>
        <v>0</v>
      </c>
      <c r="L501" s="13">
        <f t="shared" si="101"/>
        <v>0</v>
      </c>
      <c r="M501" s="13">
        <f t="shared" si="102"/>
        <v>0</v>
      </c>
    </row>
    <row r="502" spans="2:19" x14ac:dyDescent="0.2">
      <c r="B502" s="2">
        <v>492</v>
      </c>
      <c r="C502" s="13">
        <f t="shared" si="103"/>
        <v>0</v>
      </c>
      <c r="D502" s="119">
        <f t="shared" si="104"/>
        <v>0</v>
      </c>
      <c r="E502" s="13">
        <f t="shared" si="105"/>
        <v>0</v>
      </c>
      <c r="F502" s="13">
        <f t="shared" si="106"/>
        <v>0</v>
      </c>
      <c r="G502" s="13">
        <f t="shared" si="107"/>
        <v>0</v>
      </c>
      <c r="I502" s="120">
        <f t="shared" si="99"/>
        <v>0</v>
      </c>
      <c r="J502" s="120">
        <f t="shared" si="100"/>
        <v>0</v>
      </c>
      <c r="L502" s="13">
        <f t="shared" si="101"/>
        <v>0</v>
      </c>
      <c r="M502" s="13">
        <f t="shared" si="102"/>
        <v>0</v>
      </c>
      <c r="R502" s="129">
        <f t="shared" ref="R502:S502" si="111">SUM(L491:L502)</f>
        <v>0</v>
      </c>
      <c r="S502" s="129">
        <f t="shared" si="111"/>
        <v>0</v>
      </c>
    </row>
    <row r="503" spans="2:19" x14ac:dyDescent="0.2">
      <c r="B503" s="2">
        <v>493</v>
      </c>
      <c r="C503" s="13">
        <f t="shared" si="103"/>
        <v>0</v>
      </c>
      <c r="D503" s="119">
        <f t="shared" si="104"/>
        <v>0</v>
      </c>
      <c r="E503" s="13">
        <f t="shared" si="105"/>
        <v>0</v>
      </c>
      <c r="F503" s="13">
        <f t="shared" si="106"/>
        <v>0</v>
      </c>
      <c r="G503" s="13">
        <f t="shared" si="107"/>
        <v>0</v>
      </c>
      <c r="I503" s="120">
        <f t="shared" si="99"/>
        <v>0</v>
      </c>
      <c r="J503" s="120">
        <f t="shared" si="100"/>
        <v>0</v>
      </c>
      <c r="L503" s="13">
        <f t="shared" si="101"/>
        <v>0</v>
      </c>
      <c r="M503" s="13">
        <f t="shared" si="102"/>
        <v>0</v>
      </c>
    </row>
    <row r="504" spans="2:19" x14ac:dyDescent="0.2">
      <c r="B504" s="2">
        <v>494</v>
      </c>
      <c r="C504" s="13">
        <f t="shared" si="103"/>
        <v>0</v>
      </c>
      <c r="D504" s="119">
        <f t="shared" si="104"/>
        <v>0</v>
      </c>
      <c r="E504" s="13">
        <f t="shared" si="105"/>
        <v>0</v>
      </c>
      <c r="F504" s="13">
        <f t="shared" si="106"/>
        <v>0</v>
      </c>
      <c r="G504" s="13">
        <f t="shared" si="107"/>
        <v>0</v>
      </c>
      <c r="I504" s="120">
        <f t="shared" si="99"/>
        <v>0</v>
      </c>
      <c r="J504" s="120">
        <f t="shared" si="100"/>
        <v>0</v>
      </c>
      <c r="L504" s="13">
        <f t="shared" si="101"/>
        <v>0</v>
      </c>
      <c r="M504" s="13">
        <f t="shared" si="102"/>
        <v>0</v>
      </c>
    </row>
    <row r="505" spans="2:19" x14ac:dyDescent="0.2">
      <c r="B505" s="2">
        <v>495</v>
      </c>
      <c r="C505" s="13">
        <f t="shared" si="103"/>
        <v>0</v>
      </c>
      <c r="D505" s="119">
        <f t="shared" si="104"/>
        <v>0</v>
      </c>
      <c r="E505" s="13">
        <f t="shared" si="105"/>
        <v>0</v>
      </c>
      <c r="F505" s="13">
        <f t="shared" si="106"/>
        <v>0</v>
      </c>
      <c r="G505" s="13">
        <f t="shared" si="107"/>
        <v>0</v>
      </c>
      <c r="I505" s="120">
        <f t="shared" si="99"/>
        <v>0</v>
      </c>
      <c r="J505" s="120">
        <f t="shared" si="100"/>
        <v>0</v>
      </c>
      <c r="L505" s="13">
        <f t="shared" si="101"/>
        <v>0</v>
      </c>
      <c r="M505" s="13">
        <f t="shared" si="102"/>
        <v>0</v>
      </c>
    </row>
    <row r="506" spans="2:19" x14ac:dyDescent="0.2">
      <c r="B506" s="2">
        <v>496</v>
      </c>
      <c r="C506" s="13">
        <f t="shared" si="103"/>
        <v>0</v>
      </c>
      <c r="D506" s="119">
        <f t="shared" si="104"/>
        <v>0</v>
      </c>
      <c r="E506" s="13">
        <f t="shared" si="105"/>
        <v>0</v>
      </c>
      <c r="F506" s="13">
        <f t="shared" si="106"/>
        <v>0</v>
      </c>
      <c r="G506" s="13">
        <f t="shared" si="107"/>
        <v>0</v>
      </c>
      <c r="I506" s="120">
        <f t="shared" si="99"/>
        <v>0</v>
      </c>
      <c r="J506" s="120">
        <f t="shared" si="100"/>
        <v>0</v>
      </c>
      <c r="L506" s="13">
        <f t="shared" si="101"/>
        <v>0</v>
      </c>
      <c r="M506" s="13">
        <f t="shared" si="102"/>
        <v>0</v>
      </c>
    </row>
    <row r="507" spans="2:19" x14ac:dyDescent="0.2">
      <c r="B507" s="2">
        <v>497</v>
      </c>
      <c r="C507" s="13">
        <f t="shared" si="103"/>
        <v>0</v>
      </c>
      <c r="D507" s="119">
        <f t="shared" si="104"/>
        <v>0</v>
      </c>
      <c r="E507" s="13">
        <f t="shared" si="105"/>
        <v>0</v>
      </c>
      <c r="F507" s="13">
        <f t="shared" si="106"/>
        <v>0</v>
      </c>
      <c r="G507" s="13">
        <f t="shared" si="107"/>
        <v>0</v>
      </c>
      <c r="I507" s="120">
        <f t="shared" si="99"/>
        <v>0</v>
      </c>
      <c r="J507" s="120">
        <f t="shared" si="100"/>
        <v>0</v>
      </c>
      <c r="L507" s="13">
        <f t="shared" si="101"/>
        <v>0</v>
      </c>
      <c r="M507" s="13">
        <f t="shared" si="102"/>
        <v>0</v>
      </c>
    </row>
    <row r="508" spans="2:19" x14ac:dyDescent="0.2">
      <c r="B508" s="2">
        <v>498</v>
      </c>
      <c r="C508" s="13">
        <f t="shared" si="103"/>
        <v>0</v>
      </c>
      <c r="D508" s="119">
        <f t="shared" si="104"/>
        <v>0</v>
      </c>
      <c r="E508" s="13">
        <f t="shared" si="105"/>
        <v>0</v>
      </c>
      <c r="F508" s="13">
        <f t="shared" si="106"/>
        <v>0</v>
      </c>
      <c r="G508" s="13">
        <f t="shared" si="107"/>
        <v>0</v>
      </c>
      <c r="I508" s="120">
        <f t="shared" si="99"/>
        <v>0</v>
      </c>
      <c r="J508" s="120">
        <f t="shared" si="100"/>
        <v>0</v>
      </c>
      <c r="L508" s="13">
        <f t="shared" si="101"/>
        <v>0</v>
      </c>
      <c r="M508" s="13">
        <f t="shared" si="102"/>
        <v>0</v>
      </c>
    </row>
    <row r="509" spans="2:19" x14ac:dyDescent="0.2">
      <c r="B509" s="2">
        <v>499</v>
      </c>
      <c r="C509" s="13">
        <f t="shared" si="103"/>
        <v>0</v>
      </c>
      <c r="D509" s="119">
        <f t="shared" si="104"/>
        <v>0</v>
      </c>
      <c r="E509" s="13">
        <f t="shared" si="105"/>
        <v>0</v>
      </c>
      <c r="F509" s="13">
        <f t="shared" si="106"/>
        <v>0</v>
      </c>
      <c r="G509" s="13">
        <f t="shared" si="107"/>
        <v>0</v>
      </c>
      <c r="I509" s="120">
        <f t="shared" si="99"/>
        <v>0</v>
      </c>
      <c r="J509" s="120">
        <f t="shared" si="100"/>
        <v>0</v>
      </c>
      <c r="L509" s="13">
        <f t="shared" si="101"/>
        <v>0</v>
      </c>
      <c r="M509" s="13">
        <f t="shared" si="102"/>
        <v>0</v>
      </c>
    </row>
    <row r="510" spans="2:19" x14ac:dyDescent="0.2">
      <c r="B510" s="2">
        <v>500</v>
      </c>
      <c r="C510" s="13">
        <f t="shared" si="103"/>
        <v>0</v>
      </c>
      <c r="D510" s="119">
        <f t="shared" si="104"/>
        <v>0</v>
      </c>
      <c r="E510" s="13">
        <f t="shared" si="105"/>
        <v>0</v>
      </c>
      <c r="F510" s="13">
        <f t="shared" si="106"/>
        <v>0</v>
      </c>
      <c r="G510" s="13">
        <f t="shared" si="107"/>
        <v>0</v>
      </c>
      <c r="I510" s="120">
        <f t="shared" si="99"/>
        <v>0</v>
      </c>
      <c r="J510" s="120">
        <f t="shared" si="100"/>
        <v>0</v>
      </c>
      <c r="L510" s="13">
        <f t="shared" si="101"/>
        <v>0</v>
      </c>
      <c r="M510" s="13">
        <f t="shared" si="102"/>
        <v>0</v>
      </c>
    </row>
    <row r="511" spans="2:19" x14ac:dyDescent="0.2">
      <c r="B511" s="2">
        <v>501</v>
      </c>
      <c r="C511" s="13">
        <f t="shared" si="103"/>
        <v>0</v>
      </c>
      <c r="D511" s="119">
        <f t="shared" si="104"/>
        <v>0</v>
      </c>
      <c r="E511" s="13">
        <f t="shared" si="105"/>
        <v>0</v>
      </c>
      <c r="F511" s="13">
        <f t="shared" si="106"/>
        <v>0</v>
      </c>
      <c r="G511" s="13">
        <f t="shared" si="107"/>
        <v>0</v>
      </c>
      <c r="I511" s="120">
        <f t="shared" si="99"/>
        <v>0</v>
      </c>
      <c r="J511" s="120">
        <f t="shared" si="100"/>
        <v>0</v>
      </c>
      <c r="L511" s="13">
        <f t="shared" si="101"/>
        <v>0</v>
      </c>
      <c r="M511" s="13">
        <f t="shared" si="102"/>
        <v>0</v>
      </c>
    </row>
    <row r="512" spans="2:19" x14ac:dyDescent="0.2">
      <c r="B512" s="2">
        <v>502</v>
      </c>
      <c r="C512" s="13">
        <f t="shared" si="103"/>
        <v>0</v>
      </c>
      <c r="D512" s="119">
        <f t="shared" si="104"/>
        <v>0</v>
      </c>
      <c r="E512" s="13">
        <f t="shared" si="105"/>
        <v>0</v>
      </c>
      <c r="F512" s="13">
        <f t="shared" si="106"/>
        <v>0</v>
      </c>
      <c r="G512" s="13">
        <f t="shared" si="107"/>
        <v>0</v>
      </c>
      <c r="I512" s="120">
        <f t="shared" si="99"/>
        <v>0</v>
      </c>
      <c r="J512" s="120">
        <f t="shared" si="100"/>
        <v>0</v>
      </c>
      <c r="L512" s="13">
        <f t="shared" si="101"/>
        <v>0</v>
      </c>
      <c r="M512" s="13">
        <f t="shared" si="102"/>
        <v>0</v>
      </c>
    </row>
    <row r="513" spans="2:19" x14ac:dyDescent="0.2">
      <c r="B513" s="2">
        <v>503</v>
      </c>
      <c r="C513" s="13">
        <f t="shared" si="103"/>
        <v>0</v>
      </c>
      <c r="D513" s="119">
        <f t="shared" si="104"/>
        <v>0</v>
      </c>
      <c r="E513" s="13">
        <f t="shared" si="105"/>
        <v>0</v>
      </c>
      <c r="F513" s="13">
        <f t="shared" si="106"/>
        <v>0</v>
      </c>
      <c r="G513" s="13">
        <f t="shared" si="107"/>
        <v>0</v>
      </c>
      <c r="I513" s="120">
        <f t="shared" si="99"/>
        <v>0</v>
      </c>
      <c r="J513" s="120">
        <f t="shared" si="100"/>
        <v>0</v>
      </c>
      <c r="L513" s="13">
        <f t="shared" si="101"/>
        <v>0</v>
      </c>
      <c r="M513" s="13">
        <f t="shared" si="102"/>
        <v>0</v>
      </c>
    </row>
    <row r="514" spans="2:19" x14ac:dyDescent="0.2">
      <c r="B514" s="2">
        <v>504</v>
      </c>
      <c r="C514" s="13">
        <f t="shared" si="103"/>
        <v>0</v>
      </c>
      <c r="D514" s="119">
        <f t="shared" si="104"/>
        <v>0</v>
      </c>
      <c r="E514" s="13">
        <f t="shared" si="105"/>
        <v>0</v>
      </c>
      <c r="F514" s="13">
        <f t="shared" si="106"/>
        <v>0</v>
      </c>
      <c r="G514" s="13">
        <f t="shared" si="107"/>
        <v>0</v>
      </c>
      <c r="I514" s="120">
        <f t="shared" si="99"/>
        <v>0</v>
      </c>
      <c r="J514" s="120">
        <f t="shared" si="100"/>
        <v>0</v>
      </c>
      <c r="L514" s="13">
        <f t="shared" si="101"/>
        <v>0</v>
      </c>
      <c r="M514" s="13">
        <f t="shared" si="102"/>
        <v>0</v>
      </c>
      <c r="R514" s="129">
        <f t="shared" ref="R514:S514" si="112">SUM(L503:L514)</f>
        <v>0</v>
      </c>
      <c r="S514" s="129">
        <f t="shared" si="112"/>
        <v>0</v>
      </c>
    </row>
    <row r="515" spans="2:19" x14ac:dyDescent="0.2">
      <c r="B515" s="2">
        <v>505</v>
      </c>
      <c r="C515" s="13">
        <f t="shared" si="103"/>
        <v>0</v>
      </c>
      <c r="D515" s="119">
        <f t="shared" si="104"/>
        <v>0</v>
      </c>
      <c r="E515" s="13">
        <f t="shared" si="105"/>
        <v>0</v>
      </c>
      <c r="F515" s="13">
        <f t="shared" si="106"/>
        <v>0</v>
      </c>
      <c r="G515" s="13">
        <f t="shared" si="107"/>
        <v>0</v>
      </c>
      <c r="I515" s="120">
        <f t="shared" si="99"/>
        <v>0</v>
      </c>
      <c r="J515" s="120">
        <f t="shared" si="100"/>
        <v>0</v>
      </c>
      <c r="L515" s="13">
        <f t="shared" si="101"/>
        <v>0</v>
      </c>
      <c r="M515" s="13">
        <f t="shared" si="102"/>
        <v>0</v>
      </c>
    </row>
    <row r="516" spans="2:19" x14ac:dyDescent="0.2">
      <c r="B516" s="2">
        <v>506</v>
      </c>
      <c r="C516" s="13">
        <f t="shared" si="103"/>
        <v>0</v>
      </c>
      <c r="D516" s="119">
        <f t="shared" si="104"/>
        <v>0</v>
      </c>
      <c r="E516" s="13">
        <f t="shared" si="105"/>
        <v>0</v>
      </c>
      <c r="F516" s="13">
        <f t="shared" si="106"/>
        <v>0</v>
      </c>
      <c r="G516" s="13">
        <f t="shared" si="107"/>
        <v>0</v>
      </c>
      <c r="I516" s="120">
        <f t="shared" si="99"/>
        <v>0</v>
      </c>
      <c r="J516" s="120">
        <f t="shared" si="100"/>
        <v>0</v>
      </c>
      <c r="L516" s="13">
        <f t="shared" si="101"/>
        <v>0</v>
      </c>
      <c r="M516" s="13">
        <f t="shared" si="102"/>
        <v>0</v>
      </c>
    </row>
    <row r="517" spans="2:19" x14ac:dyDescent="0.2">
      <c r="B517" s="2">
        <v>507</v>
      </c>
      <c r="C517" s="13">
        <f t="shared" si="103"/>
        <v>0</v>
      </c>
      <c r="D517" s="119">
        <f t="shared" si="104"/>
        <v>0</v>
      </c>
      <c r="E517" s="13">
        <f t="shared" si="105"/>
        <v>0</v>
      </c>
      <c r="F517" s="13">
        <f t="shared" si="106"/>
        <v>0</v>
      </c>
      <c r="G517" s="13">
        <f t="shared" si="107"/>
        <v>0</v>
      </c>
      <c r="I517" s="120">
        <f t="shared" si="99"/>
        <v>0</v>
      </c>
      <c r="J517" s="120">
        <f t="shared" si="100"/>
        <v>0</v>
      </c>
      <c r="L517" s="13">
        <f t="shared" si="101"/>
        <v>0</v>
      </c>
      <c r="M517" s="13">
        <f t="shared" si="102"/>
        <v>0</v>
      </c>
    </row>
    <row r="518" spans="2:19" x14ac:dyDescent="0.2">
      <c r="B518" s="2">
        <v>508</v>
      </c>
      <c r="C518" s="13">
        <f t="shared" si="103"/>
        <v>0</v>
      </c>
      <c r="D518" s="119">
        <f t="shared" si="104"/>
        <v>0</v>
      </c>
      <c r="E518" s="13">
        <f t="shared" si="105"/>
        <v>0</v>
      </c>
      <c r="F518" s="13">
        <f t="shared" si="106"/>
        <v>0</v>
      </c>
      <c r="G518" s="13">
        <f t="shared" si="107"/>
        <v>0</v>
      </c>
      <c r="I518" s="120">
        <f t="shared" si="99"/>
        <v>0</v>
      </c>
      <c r="J518" s="120">
        <f t="shared" si="100"/>
        <v>0</v>
      </c>
      <c r="L518" s="13">
        <f t="shared" si="101"/>
        <v>0</v>
      </c>
      <c r="M518" s="13">
        <f t="shared" si="102"/>
        <v>0</v>
      </c>
    </row>
    <row r="519" spans="2:19" x14ac:dyDescent="0.2">
      <c r="B519" s="2">
        <v>509</v>
      </c>
      <c r="C519" s="13">
        <f t="shared" si="103"/>
        <v>0</v>
      </c>
      <c r="D519" s="119">
        <f t="shared" si="104"/>
        <v>0</v>
      </c>
      <c r="E519" s="13">
        <f t="shared" si="105"/>
        <v>0</v>
      </c>
      <c r="F519" s="13">
        <f t="shared" si="106"/>
        <v>0</v>
      </c>
      <c r="G519" s="13">
        <f t="shared" si="107"/>
        <v>0</v>
      </c>
      <c r="I519" s="120">
        <f t="shared" si="99"/>
        <v>0</v>
      </c>
      <c r="J519" s="120">
        <f t="shared" si="100"/>
        <v>0</v>
      </c>
      <c r="L519" s="13">
        <f t="shared" si="101"/>
        <v>0</v>
      </c>
      <c r="M519" s="13">
        <f t="shared" si="102"/>
        <v>0</v>
      </c>
    </row>
    <row r="520" spans="2:19" x14ac:dyDescent="0.2">
      <c r="B520" s="2">
        <v>510</v>
      </c>
      <c r="C520" s="13">
        <f t="shared" si="103"/>
        <v>0</v>
      </c>
      <c r="D520" s="119">
        <f t="shared" si="104"/>
        <v>0</v>
      </c>
      <c r="E520" s="13">
        <f t="shared" si="105"/>
        <v>0</v>
      </c>
      <c r="F520" s="13">
        <f t="shared" si="106"/>
        <v>0</v>
      </c>
      <c r="G520" s="13">
        <f t="shared" si="107"/>
        <v>0</v>
      </c>
      <c r="I520" s="120">
        <f t="shared" si="99"/>
        <v>0</v>
      </c>
      <c r="J520" s="120">
        <f t="shared" si="100"/>
        <v>0</v>
      </c>
      <c r="L520" s="13">
        <f t="shared" si="101"/>
        <v>0</v>
      </c>
      <c r="M520" s="13">
        <f t="shared" si="102"/>
        <v>0</v>
      </c>
    </row>
    <row r="521" spans="2:19" x14ac:dyDescent="0.2">
      <c r="B521" s="2">
        <v>511</v>
      </c>
      <c r="C521" s="13">
        <f t="shared" si="103"/>
        <v>0</v>
      </c>
      <c r="D521" s="119">
        <f t="shared" si="104"/>
        <v>0</v>
      </c>
      <c r="E521" s="13">
        <f t="shared" si="105"/>
        <v>0</v>
      </c>
      <c r="F521" s="13">
        <f t="shared" si="106"/>
        <v>0</v>
      </c>
      <c r="G521" s="13">
        <f t="shared" si="107"/>
        <v>0</v>
      </c>
      <c r="I521" s="120">
        <f t="shared" si="99"/>
        <v>0</v>
      </c>
      <c r="J521" s="120">
        <f t="shared" si="100"/>
        <v>0</v>
      </c>
      <c r="L521" s="13">
        <f t="shared" si="101"/>
        <v>0</v>
      </c>
      <c r="M521" s="13">
        <f t="shared" si="102"/>
        <v>0</v>
      </c>
    </row>
    <row r="522" spans="2:19" x14ac:dyDescent="0.2">
      <c r="B522" s="2">
        <v>512</v>
      </c>
      <c r="C522" s="13">
        <f t="shared" si="103"/>
        <v>0</v>
      </c>
      <c r="D522" s="119">
        <f t="shared" si="104"/>
        <v>0</v>
      </c>
      <c r="E522" s="13">
        <f t="shared" si="105"/>
        <v>0</v>
      </c>
      <c r="F522" s="13">
        <f t="shared" si="106"/>
        <v>0</v>
      </c>
      <c r="G522" s="13">
        <f t="shared" si="107"/>
        <v>0</v>
      </c>
      <c r="I522" s="120">
        <f t="shared" si="99"/>
        <v>0</v>
      </c>
      <c r="J522" s="120">
        <f t="shared" si="100"/>
        <v>0</v>
      </c>
      <c r="L522" s="13">
        <f t="shared" si="101"/>
        <v>0</v>
      </c>
      <c r="M522" s="13">
        <f t="shared" si="102"/>
        <v>0</v>
      </c>
    </row>
    <row r="523" spans="2:19" x14ac:dyDescent="0.2">
      <c r="B523" s="2">
        <v>513</v>
      </c>
      <c r="C523" s="13">
        <f t="shared" si="103"/>
        <v>0</v>
      </c>
      <c r="D523" s="119">
        <f t="shared" si="104"/>
        <v>0</v>
      </c>
      <c r="E523" s="13">
        <f t="shared" si="105"/>
        <v>0</v>
      </c>
      <c r="F523" s="13">
        <f t="shared" si="106"/>
        <v>0</v>
      </c>
      <c r="G523" s="13">
        <f t="shared" si="107"/>
        <v>0</v>
      </c>
      <c r="I523" s="120">
        <f t="shared" si="99"/>
        <v>0</v>
      </c>
      <c r="J523" s="120">
        <f t="shared" si="100"/>
        <v>0</v>
      </c>
      <c r="L523" s="13">
        <f t="shared" si="101"/>
        <v>0</v>
      </c>
      <c r="M523" s="13">
        <f t="shared" si="102"/>
        <v>0</v>
      </c>
    </row>
    <row r="524" spans="2:19" x14ac:dyDescent="0.2">
      <c r="B524" s="2">
        <v>514</v>
      </c>
      <c r="C524" s="13">
        <f t="shared" si="103"/>
        <v>0</v>
      </c>
      <c r="D524" s="119">
        <f t="shared" si="104"/>
        <v>0</v>
      </c>
      <c r="E524" s="13">
        <f t="shared" si="105"/>
        <v>0</v>
      </c>
      <c r="F524" s="13">
        <f t="shared" si="106"/>
        <v>0</v>
      </c>
      <c r="G524" s="13">
        <f t="shared" si="107"/>
        <v>0</v>
      </c>
      <c r="I524" s="120">
        <f t="shared" ref="I524:I587" si="113">IF(B524&gt;$D$6*12,0,L524/(L524+M524))</f>
        <v>0</v>
      </c>
      <c r="J524" s="120">
        <f t="shared" ref="J524:J587" si="114">IF(B524&gt;$D$6*12,0,M524/(L524+M524))</f>
        <v>0</v>
      </c>
      <c r="L524" s="13">
        <f t="shared" ref="L524:L587" si="115">IF(B524&gt;$D$6*12,0,F524+E524)</f>
        <v>0</v>
      </c>
      <c r="M524" s="13">
        <f t="shared" ref="M524:M587" si="116">IF(B524&gt;$D$6*12,0,-E524)</f>
        <v>0</v>
      </c>
    </row>
    <row r="525" spans="2:19" x14ac:dyDescent="0.2">
      <c r="B525" s="2">
        <v>515</v>
      </c>
      <c r="C525" s="13">
        <f t="shared" ref="C525:C588" si="117">IF(B525&gt;$D$6*12,0,G524)</f>
        <v>0</v>
      </c>
      <c r="D525" s="119">
        <f t="shared" ref="D525:D588" si="118">IF(B525&gt;$D$6*12,0,D524)</f>
        <v>0</v>
      </c>
      <c r="E525" s="13">
        <f t="shared" ref="E525:E588" si="119">IF(B525&gt;$D$6*12,0,D525*C525)</f>
        <v>0</v>
      </c>
      <c r="F525" s="13">
        <f t="shared" ref="F525:F588" si="120">IF(B525&gt;$D$6*12,0,F524)</f>
        <v>0</v>
      </c>
      <c r="G525" s="13">
        <f t="shared" ref="G525:G588" si="121">IF(B525&gt;$D$6*12,0,C525+E525+F525)</f>
        <v>0</v>
      </c>
      <c r="I525" s="120">
        <f t="shared" si="113"/>
        <v>0</v>
      </c>
      <c r="J525" s="120">
        <f t="shared" si="114"/>
        <v>0</v>
      </c>
      <c r="L525" s="13">
        <f t="shared" si="115"/>
        <v>0</v>
      </c>
      <c r="M525" s="13">
        <f t="shared" si="116"/>
        <v>0</v>
      </c>
    </row>
    <row r="526" spans="2:19" x14ac:dyDescent="0.2">
      <c r="B526" s="2">
        <v>516</v>
      </c>
      <c r="C526" s="13">
        <f t="shared" si="117"/>
        <v>0</v>
      </c>
      <c r="D526" s="119">
        <f t="shared" si="118"/>
        <v>0</v>
      </c>
      <c r="E526" s="13">
        <f t="shared" si="119"/>
        <v>0</v>
      </c>
      <c r="F526" s="13">
        <f t="shared" si="120"/>
        <v>0</v>
      </c>
      <c r="G526" s="13">
        <f t="shared" si="121"/>
        <v>0</v>
      </c>
      <c r="I526" s="120">
        <f t="shared" si="113"/>
        <v>0</v>
      </c>
      <c r="J526" s="120">
        <f t="shared" si="114"/>
        <v>0</v>
      </c>
      <c r="L526" s="13">
        <f t="shared" si="115"/>
        <v>0</v>
      </c>
      <c r="M526" s="13">
        <f t="shared" si="116"/>
        <v>0</v>
      </c>
      <c r="R526" s="129">
        <f t="shared" ref="R526:S526" si="122">SUM(L515:L526)</f>
        <v>0</v>
      </c>
      <c r="S526" s="129">
        <f t="shared" si="122"/>
        <v>0</v>
      </c>
    </row>
    <row r="527" spans="2:19" x14ac:dyDescent="0.2">
      <c r="B527" s="2">
        <v>517</v>
      </c>
      <c r="C527" s="13">
        <f t="shared" si="117"/>
        <v>0</v>
      </c>
      <c r="D527" s="119">
        <f t="shared" si="118"/>
        <v>0</v>
      </c>
      <c r="E527" s="13">
        <f t="shared" si="119"/>
        <v>0</v>
      </c>
      <c r="F527" s="13">
        <f t="shared" si="120"/>
        <v>0</v>
      </c>
      <c r="G527" s="13">
        <f t="shared" si="121"/>
        <v>0</v>
      </c>
      <c r="I527" s="120">
        <f t="shared" si="113"/>
        <v>0</v>
      </c>
      <c r="J527" s="120">
        <f t="shared" si="114"/>
        <v>0</v>
      </c>
      <c r="L527" s="13">
        <f t="shared" si="115"/>
        <v>0</v>
      </c>
      <c r="M527" s="13">
        <f t="shared" si="116"/>
        <v>0</v>
      </c>
    </row>
    <row r="528" spans="2:19" x14ac:dyDescent="0.2">
      <c r="B528" s="2">
        <v>518</v>
      </c>
      <c r="C528" s="13">
        <f t="shared" si="117"/>
        <v>0</v>
      </c>
      <c r="D528" s="119">
        <f t="shared" si="118"/>
        <v>0</v>
      </c>
      <c r="E528" s="13">
        <f t="shared" si="119"/>
        <v>0</v>
      </c>
      <c r="F528" s="13">
        <f t="shared" si="120"/>
        <v>0</v>
      </c>
      <c r="G528" s="13">
        <f t="shared" si="121"/>
        <v>0</v>
      </c>
      <c r="I528" s="120">
        <f t="shared" si="113"/>
        <v>0</v>
      </c>
      <c r="J528" s="120">
        <f t="shared" si="114"/>
        <v>0</v>
      </c>
      <c r="L528" s="13">
        <f t="shared" si="115"/>
        <v>0</v>
      </c>
      <c r="M528" s="13">
        <f t="shared" si="116"/>
        <v>0</v>
      </c>
    </row>
    <row r="529" spans="2:19" x14ac:dyDescent="0.2">
      <c r="B529" s="2">
        <v>519</v>
      </c>
      <c r="C529" s="13">
        <f t="shared" si="117"/>
        <v>0</v>
      </c>
      <c r="D529" s="119">
        <f t="shared" si="118"/>
        <v>0</v>
      </c>
      <c r="E529" s="13">
        <f t="shared" si="119"/>
        <v>0</v>
      </c>
      <c r="F529" s="13">
        <f t="shared" si="120"/>
        <v>0</v>
      </c>
      <c r="G529" s="13">
        <f t="shared" si="121"/>
        <v>0</v>
      </c>
      <c r="I529" s="120">
        <f t="shared" si="113"/>
        <v>0</v>
      </c>
      <c r="J529" s="120">
        <f t="shared" si="114"/>
        <v>0</v>
      </c>
      <c r="L529" s="13">
        <f t="shared" si="115"/>
        <v>0</v>
      </c>
      <c r="M529" s="13">
        <f t="shared" si="116"/>
        <v>0</v>
      </c>
    </row>
    <row r="530" spans="2:19" x14ac:dyDescent="0.2">
      <c r="B530" s="2">
        <v>520</v>
      </c>
      <c r="C530" s="13">
        <f t="shared" si="117"/>
        <v>0</v>
      </c>
      <c r="D530" s="119">
        <f t="shared" si="118"/>
        <v>0</v>
      </c>
      <c r="E530" s="13">
        <f t="shared" si="119"/>
        <v>0</v>
      </c>
      <c r="F530" s="13">
        <f t="shared" si="120"/>
        <v>0</v>
      </c>
      <c r="G530" s="13">
        <f t="shared" si="121"/>
        <v>0</v>
      </c>
      <c r="I530" s="120">
        <f t="shared" si="113"/>
        <v>0</v>
      </c>
      <c r="J530" s="120">
        <f t="shared" si="114"/>
        <v>0</v>
      </c>
      <c r="L530" s="13">
        <f t="shared" si="115"/>
        <v>0</v>
      </c>
      <c r="M530" s="13">
        <f t="shared" si="116"/>
        <v>0</v>
      </c>
    </row>
    <row r="531" spans="2:19" x14ac:dyDescent="0.2">
      <c r="B531" s="2">
        <v>521</v>
      </c>
      <c r="C531" s="13">
        <f t="shared" si="117"/>
        <v>0</v>
      </c>
      <c r="D531" s="119">
        <f t="shared" si="118"/>
        <v>0</v>
      </c>
      <c r="E531" s="13">
        <f t="shared" si="119"/>
        <v>0</v>
      </c>
      <c r="F531" s="13">
        <f t="shared" si="120"/>
        <v>0</v>
      </c>
      <c r="G531" s="13">
        <f t="shared" si="121"/>
        <v>0</v>
      </c>
      <c r="I531" s="120">
        <f t="shared" si="113"/>
        <v>0</v>
      </c>
      <c r="J531" s="120">
        <f t="shared" si="114"/>
        <v>0</v>
      </c>
      <c r="L531" s="13">
        <f t="shared" si="115"/>
        <v>0</v>
      </c>
      <c r="M531" s="13">
        <f t="shared" si="116"/>
        <v>0</v>
      </c>
    </row>
    <row r="532" spans="2:19" x14ac:dyDescent="0.2">
      <c r="B532" s="2">
        <v>522</v>
      </c>
      <c r="C532" s="13">
        <f t="shared" si="117"/>
        <v>0</v>
      </c>
      <c r="D532" s="119">
        <f t="shared" si="118"/>
        <v>0</v>
      </c>
      <c r="E532" s="13">
        <f t="shared" si="119"/>
        <v>0</v>
      </c>
      <c r="F532" s="13">
        <f t="shared" si="120"/>
        <v>0</v>
      </c>
      <c r="G532" s="13">
        <f t="shared" si="121"/>
        <v>0</v>
      </c>
      <c r="I532" s="120">
        <f t="shared" si="113"/>
        <v>0</v>
      </c>
      <c r="J532" s="120">
        <f t="shared" si="114"/>
        <v>0</v>
      </c>
      <c r="L532" s="13">
        <f t="shared" si="115"/>
        <v>0</v>
      </c>
      <c r="M532" s="13">
        <f t="shared" si="116"/>
        <v>0</v>
      </c>
    </row>
    <row r="533" spans="2:19" x14ac:dyDescent="0.2">
      <c r="B533" s="2">
        <v>523</v>
      </c>
      <c r="C533" s="13">
        <f t="shared" si="117"/>
        <v>0</v>
      </c>
      <c r="D533" s="119">
        <f t="shared" si="118"/>
        <v>0</v>
      </c>
      <c r="E533" s="13">
        <f t="shared" si="119"/>
        <v>0</v>
      </c>
      <c r="F533" s="13">
        <f t="shared" si="120"/>
        <v>0</v>
      </c>
      <c r="G533" s="13">
        <f t="shared" si="121"/>
        <v>0</v>
      </c>
      <c r="I533" s="120">
        <f t="shared" si="113"/>
        <v>0</v>
      </c>
      <c r="J533" s="120">
        <f t="shared" si="114"/>
        <v>0</v>
      </c>
      <c r="L533" s="13">
        <f t="shared" si="115"/>
        <v>0</v>
      </c>
      <c r="M533" s="13">
        <f t="shared" si="116"/>
        <v>0</v>
      </c>
    </row>
    <row r="534" spans="2:19" x14ac:dyDescent="0.2">
      <c r="B534" s="2">
        <v>524</v>
      </c>
      <c r="C534" s="13">
        <f t="shared" si="117"/>
        <v>0</v>
      </c>
      <c r="D534" s="119">
        <f t="shared" si="118"/>
        <v>0</v>
      </c>
      <c r="E534" s="13">
        <f t="shared" si="119"/>
        <v>0</v>
      </c>
      <c r="F534" s="13">
        <f t="shared" si="120"/>
        <v>0</v>
      </c>
      <c r="G534" s="13">
        <f t="shared" si="121"/>
        <v>0</v>
      </c>
      <c r="I534" s="120">
        <f t="shared" si="113"/>
        <v>0</v>
      </c>
      <c r="J534" s="120">
        <f t="shared" si="114"/>
        <v>0</v>
      </c>
      <c r="L534" s="13">
        <f t="shared" si="115"/>
        <v>0</v>
      </c>
      <c r="M534" s="13">
        <f t="shared" si="116"/>
        <v>0</v>
      </c>
    </row>
    <row r="535" spans="2:19" x14ac:dyDescent="0.2">
      <c r="B535" s="2">
        <v>525</v>
      </c>
      <c r="C535" s="13">
        <f t="shared" si="117"/>
        <v>0</v>
      </c>
      <c r="D535" s="119">
        <f t="shared" si="118"/>
        <v>0</v>
      </c>
      <c r="E535" s="13">
        <f t="shared" si="119"/>
        <v>0</v>
      </c>
      <c r="F535" s="13">
        <f t="shared" si="120"/>
        <v>0</v>
      </c>
      <c r="G535" s="13">
        <f t="shared" si="121"/>
        <v>0</v>
      </c>
      <c r="I535" s="120">
        <f t="shared" si="113"/>
        <v>0</v>
      </c>
      <c r="J535" s="120">
        <f t="shared" si="114"/>
        <v>0</v>
      </c>
      <c r="L535" s="13">
        <f t="shared" si="115"/>
        <v>0</v>
      </c>
      <c r="M535" s="13">
        <f t="shared" si="116"/>
        <v>0</v>
      </c>
    </row>
    <row r="536" spans="2:19" x14ac:dyDescent="0.2">
      <c r="B536" s="2">
        <v>526</v>
      </c>
      <c r="C536" s="13">
        <f t="shared" si="117"/>
        <v>0</v>
      </c>
      <c r="D536" s="119">
        <f t="shared" si="118"/>
        <v>0</v>
      </c>
      <c r="E536" s="13">
        <f t="shared" si="119"/>
        <v>0</v>
      </c>
      <c r="F536" s="13">
        <f t="shared" si="120"/>
        <v>0</v>
      </c>
      <c r="G536" s="13">
        <f t="shared" si="121"/>
        <v>0</v>
      </c>
      <c r="I536" s="120">
        <f t="shared" si="113"/>
        <v>0</v>
      </c>
      <c r="J536" s="120">
        <f t="shared" si="114"/>
        <v>0</v>
      </c>
      <c r="L536" s="13">
        <f t="shared" si="115"/>
        <v>0</v>
      </c>
      <c r="M536" s="13">
        <f t="shared" si="116"/>
        <v>0</v>
      </c>
    </row>
    <row r="537" spans="2:19" x14ac:dyDescent="0.2">
      <c r="B537" s="2">
        <v>527</v>
      </c>
      <c r="C537" s="13">
        <f t="shared" si="117"/>
        <v>0</v>
      </c>
      <c r="D537" s="119">
        <f t="shared" si="118"/>
        <v>0</v>
      </c>
      <c r="E537" s="13">
        <f t="shared" si="119"/>
        <v>0</v>
      </c>
      <c r="F537" s="13">
        <f t="shared" si="120"/>
        <v>0</v>
      </c>
      <c r="G537" s="13">
        <f t="shared" si="121"/>
        <v>0</v>
      </c>
      <c r="I537" s="120">
        <f t="shared" si="113"/>
        <v>0</v>
      </c>
      <c r="J537" s="120">
        <f t="shared" si="114"/>
        <v>0</v>
      </c>
      <c r="L537" s="13">
        <f t="shared" si="115"/>
        <v>0</v>
      </c>
      <c r="M537" s="13">
        <f t="shared" si="116"/>
        <v>0</v>
      </c>
    </row>
    <row r="538" spans="2:19" x14ac:dyDescent="0.2">
      <c r="B538" s="2">
        <v>528</v>
      </c>
      <c r="C538" s="13">
        <f t="shared" si="117"/>
        <v>0</v>
      </c>
      <c r="D538" s="119">
        <f t="shared" si="118"/>
        <v>0</v>
      </c>
      <c r="E538" s="13">
        <f t="shared" si="119"/>
        <v>0</v>
      </c>
      <c r="F538" s="13">
        <f t="shared" si="120"/>
        <v>0</v>
      </c>
      <c r="G538" s="13">
        <f t="shared" si="121"/>
        <v>0</v>
      </c>
      <c r="I538" s="120">
        <f t="shared" si="113"/>
        <v>0</v>
      </c>
      <c r="J538" s="120">
        <f t="shared" si="114"/>
        <v>0</v>
      </c>
      <c r="L538" s="13">
        <f t="shared" si="115"/>
        <v>0</v>
      </c>
      <c r="M538" s="13">
        <f t="shared" si="116"/>
        <v>0</v>
      </c>
      <c r="R538" s="129">
        <f t="shared" ref="R538:S538" si="123">SUM(L527:L538)</f>
        <v>0</v>
      </c>
      <c r="S538" s="129">
        <f t="shared" si="123"/>
        <v>0</v>
      </c>
    </row>
    <row r="539" spans="2:19" x14ac:dyDescent="0.2">
      <c r="B539" s="2">
        <v>529</v>
      </c>
      <c r="C539" s="13">
        <f t="shared" si="117"/>
        <v>0</v>
      </c>
      <c r="D539" s="119">
        <f t="shared" si="118"/>
        <v>0</v>
      </c>
      <c r="E539" s="13">
        <f t="shared" si="119"/>
        <v>0</v>
      </c>
      <c r="F539" s="13">
        <f t="shared" si="120"/>
        <v>0</v>
      </c>
      <c r="G539" s="13">
        <f t="shared" si="121"/>
        <v>0</v>
      </c>
      <c r="I539" s="120">
        <f t="shared" si="113"/>
        <v>0</v>
      </c>
      <c r="J539" s="120">
        <f t="shared" si="114"/>
        <v>0</v>
      </c>
      <c r="L539" s="13">
        <f t="shared" si="115"/>
        <v>0</v>
      </c>
      <c r="M539" s="13">
        <f t="shared" si="116"/>
        <v>0</v>
      </c>
    </row>
    <row r="540" spans="2:19" x14ac:dyDescent="0.2">
      <c r="B540" s="2">
        <v>530</v>
      </c>
      <c r="C540" s="13">
        <f t="shared" si="117"/>
        <v>0</v>
      </c>
      <c r="D540" s="119">
        <f t="shared" si="118"/>
        <v>0</v>
      </c>
      <c r="E540" s="13">
        <f t="shared" si="119"/>
        <v>0</v>
      </c>
      <c r="F540" s="13">
        <f t="shared" si="120"/>
        <v>0</v>
      </c>
      <c r="G540" s="13">
        <f t="shared" si="121"/>
        <v>0</v>
      </c>
      <c r="I540" s="120">
        <f t="shared" si="113"/>
        <v>0</v>
      </c>
      <c r="J540" s="120">
        <f t="shared" si="114"/>
        <v>0</v>
      </c>
      <c r="L540" s="13">
        <f t="shared" si="115"/>
        <v>0</v>
      </c>
      <c r="M540" s="13">
        <f t="shared" si="116"/>
        <v>0</v>
      </c>
    </row>
    <row r="541" spans="2:19" x14ac:dyDescent="0.2">
      <c r="B541" s="2">
        <v>531</v>
      </c>
      <c r="C541" s="13">
        <f t="shared" si="117"/>
        <v>0</v>
      </c>
      <c r="D541" s="119">
        <f t="shared" si="118"/>
        <v>0</v>
      </c>
      <c r="E541" s="13">
        <f t="shared" si="119"/>
        <v>0</v>
      </c>
      <c r="F541" s="13">
        <f t="shared" si="120"/>
        <v>0</v>
      </c>
      <c r="G541" s="13">
        <f t="shared" si="121"/>
        <v>0</v>
      </c>
      <c r="I541" s="120">
        <f t="shared" si="113"/>
        <v>0</v>
      </c>
      <c r="J541" s="120">
        <f t="shared" si="114"/>
        <v>0</v>
      </c>
      <c r="L541" s="13">
        <f t="shared" si="115"/>
        <v>0</v>
      </c>
      <c r="M541" s="13">
        <f t="shared" si="116"/>
        <v>0</v>
      </c>
    </row>
    <row r="542" spans="2:19" x14ac:dyDescent="0.2">
      <c r="B542" s="2">
        <v>532</v>
      </c>
      <c r="C542" s="13">
        <f t="shared" si="117"/>
        <v>0</v>
      </c>
      <c r="D542" s="119">
        <f t="shared" si="118"/>
        <v>0</v>
      </c>
      <c r="E542" s="13">
        <f t="shared" si="119"/>
        <v>0</v>
      </c>
      <c r="F542" s="13">
        <f t="shared" si="120"/>
        <v>0</v>
      </c>
      <c r="G542" s="13">
        <f t="shared" si="121"/>
        <v>0</v>
      </c>
      <c r="I542" s="120">
        <f t="shared" si="113"/>
        <v>0</v>
      </c>
      <c r="J542" s="120">
        <f t="shared" si="114"/>
        <v>0</v>
      </c>
      <c r="L542" s="13">
        <f t="shared" si="115"/>
        <v>0</v>
      </c>
      <c r="M542" s="13">
        <f t="shared" si="116"/>
        <v>0</v>
      </c>
    </row>
    <row r="543" spans="2:19" x14ac:dyDescent="0.2">
      <c r="B543" s="2">
        <v>533</v>
      </c>
      <c r="C543" s="13">
        <f t="shared" si="117"/>
        <v>0</v>
      </c>
      <c r="D543" s="119">
        <f t="shared" si="118"/>
        <v>0</v>
      </c>
      <c r="E543" s="13">
        <f t="shared" si="119"/>
        <v>0</v>
      </c>
      <c r="F543" s="13">
        <f t="shared" si="120"/>
        <v>0</v>
      </c>
      <c r="G543" s="13">
        <f t="shared" si="121"/>
        <v>0</v>
      </c>
      <c r="I543" s="120">
        <f t="shared" si="113"/>
        <v>0</v>
      </c>
      <c r="J543" s="120">
        <f t="shared" si="114"/>
        <v>0</v>
      </c>
      <c r="L543" s="13">
        <f t="shared" si="115"/>
        <v>0</v>
      </c>
      <c r="M543" s="13">
        <f t="shared" si="116"/>
        <v>0</v>
      </c>
    </row>
    <row r="544" spans="2:19" x14ac:dyDescent="0.2">
      <c r="B544" s="2">
        <v>534</v>
      </c>
      <c r="C544" s="13">
        <f t="shared" si="117"/>
        <v>0</v>
      </c>
      <c r="D544" s="119">
        <f t="shared" si="118"/>
        <v>0</v>
      </c>
      <c r="E544" s="13">
        <f t="shared" si="119"/>
        <v>0</v>
      </c>
      <c r="F544" s="13">
        <f t="shared" si="120"/>
        <v>0</v>
      </c>
      <c r="G544" s="13">
        <f t="shared" si="121"/>
        <v>0</v>
      </c>
      <c r="I544" s="120">
        <f t="shared" si="113"/>
        <v>0</v>
      </c>
      <c r="J544" s="120">
        <f t="shared" si="114"/>
        <v>0</v>
      </c>
      <c r="L544" s="13">
        <f t="shared" si="115"/>
        <v>0</v>
      </c>
      <c r="M544" s="13">
        <f t="shared" si="116"/>
        <v>0</v>
      </c>
    </row>
    <row r="545" spans="2:19" x14ac:dyDescent="0.2">
      <c r="B545" s="2">
        <v>535</v>
      </c>
      <c r="C545" s="13">
        <f t="shared" si="117"/>
        <v>0</v>
      </c>
      <c r="D545" s="119">
        <f t="shared" si="118"/>
        <v>0</v>
      </c>
      <c r="E545" s="13">
        <f t="shared" si="119"/>
        <v>0</v>
      </c>
      <c r="F545" s="13">
        <f t="shared" si="120"/>
        <v>0</v>
      </c>
      <c r="G545" s="13">
        <f t="shared" si="121"/>
        <v>0</v>
      </c>
      <c r="I545" s="120">
        <f t="shared" si="113"/>
        <v>0</v>
      </c>
      <c r="J545" s="120">
        <f t="shared" si="114"/>
        <v>0</v>
      </c>
      <c r="L545" s="13">
        <f t="shared" si="115"/>
        <v>0</v>
      </c>
      <c r="M545" s="13">
        <f t="shared" si="116"/>
        <v>0</v>
      </c>
    </row>
    <row r="546" spans="2:19" x14ac:dyDescent="0.2">
      <c r="B546" s="2">
        <v>536</v>
      </c>
      <c r="C546" s="13">
        <f t="shared" si="117"/>
        <v>0</v>
      </c>
      <c r="D546" s="119">
        <f t="shared" si="118"/>
        <v>0</v>
      </c>
      <c r="E546" s="13">
        <f t="shared" si="119"/>
        <v>0</v>
      </c>
      <c r="F546" s="13">
        <f t="shared" si="120"/>
        <v>0</v>
      </c>
      <c r="G546" s="13">
        <f t="shared" si="121"/>
        <v>0</v>
      </c>
      <c r="I546" s="120">
        <f t="shared" si="113"/>
        <v>0</v>
      </c>
      <c r="J546" s="120">
        <f t="shared" si="114"/>
        <v>0</v>
      </c>
      <c r="L546" s="13">
        <f t="shared" si="115"/>
        <v>0</v>
      </c>
      <c r="M546" s="13">
        <f t="shared" si="116"/>
        <v>0</v>
      </c>
    </row>
    <row r="547" spans="2:19" x14ac:dyDescent="0.2">
      <c r="B547" s="2">
        <v>537</v>
      </c>
      <c r="C547" s="13">
        <f t="shared" si="117"/>
        <v>0</v>
      </c>
      <c r="D547" s="119">
        <f t="shared" si="118"/>
        <v>0</v>
      </c>
      <c r="E547" s="13">
        <f t="shared" si="119"/>
        <v>0</v>
      </c>
      <c r="F547" s="13">
        <f t="shared" si="120"/>
        <v>0</v>
      </c>
      <c r="G547" s="13">
        <f t="shared" si="121"/>
        <v>0</v>
      </c>
      <c r="I547" s="120">
        <f t="shared" si="113"/>
        <v>0</v>
      </c>
      <c r="J547" s="120">
        <f t="shared" si="114"/>
        <v>0</v>
      </c>
      <c r="L547" s="13">
        <f t="shared" si="115"/>
        <v>0</v>
      </c>
      <c r="M547" s="13">
        <f t="shared" si="116"/>
        <v>0</v>
      </c>
    </row>
    <row r="548" spans="2:19" x14ac:dyDescent="0.2">
      <c r="B548" s="2">
        <v>538</v>
      </c>
      <c r="C548" s="13">
        <f t="shared" si="117"/>
        <v>0</v>
      </c>
      <c r="D548" s="119">
        <f t="shared" si="118"/>
        <v>0</v>
      </c>
      <c r="E548" s="13">
        <f t="shared" si="119"/>
        <v>0</v>
      </c>
      <c r="F548" s="13">
        <f t="shared" si="120"/>
        <v>0</v>
      </c>
      <c r="G548" s="13">
        <f t="shared" si="121"/>
        <v>0</v>
      </c>
      <c r="I548" s="120">
        <f t="shared" si="113"/>
        <v>0</v>
      </c>
      <c r="J548" s="120">
        <f t="shared" si="114"/>
        <v>0</v>
      </c>
      <c r="L548" s="13">
        <f t="shared" si="115"/>
        <v>0</v>
      </c>
      <c r="M548" s="13">
        <f t="shared" si="116"/>
        <v>0</v>
      </c>
    </row>
    <row r="549" spans="2:19" x14ac:dyDescent="0.2">
      <c r="B549" s="2">
        <v>539</v>
      </c>
      <c r="C549" s="13">
        <f t="shared" si="117"/>
        <v>0</v>
      </c>
      <c r="D549" s="119">
        <f t="shared" si="118"/>
        <v>0</v>
      </c>
      <c r="E549" s="13">
        <f t="shared" si="119"/>
        <v>0</v>
      </c>
      <c r="F549" s="13">
        <f t="shared" si="120"/>
        <v>0</v>
      </c>
      <c r="G549" s="13">
        <f t="shared" si="121"/>
        <v>0</v>
      </c>
      <c r="I549" s="120">
        <f t="shared" si="113"/>
        <v>0</v>
      </c>
      <c r="J549" s="120">
        <f t="shared" si="114"/>
        <v>0</v>
      </c>
      <c r="L549" s="13">
        <f t="shared" si="115"/>
        <v>0</v>
      </c>
      <c r="M549" s="13">
        <f t="shared" si="116"/>
        <v>0</v>
      </c>
    </row>
    <row r="550" spans="2:19" x14ac:dyDescent="0.2">
      <c r="B550" s="2">
        <v>540</v>
      </c>
      <c r="C550" s="13">
        <f t="shared" si="117"/>
        <v>0</v>
      </c>
      <c r="D550" s="119">
        <f t="shared" si="118"/>
        <v>0</v>
      </c>
      <c r="E550" s="13">
        <f t="shared" si="119"/>
        <v>0</v>
      </c>
      <c r="F550" s="13">
        <f t="shared" si="120"/>
        <v>0</v>
      </c>
      <c r="G550" s="13">
        <f t="shared" si="121"/>
        <v>0</v>
      </c>
      <c r="I550" s="120">
        <f t="shared" si="113"/>
        <v>0</v>
      </c>
      <c r="J550" s="120">
        <f t="shared" si="114"/>
        <v>0</v>
      </c>
      <c r="L550" s="13">
        <f t="shared" si="115"/>
        <v>0</v>
      </c>
      <c r="M550" s="13">
        <f t="shared" si="116"/>
        <v>0</v>
      </c>
      <c r="R550" s="129">
        <f t="shared" ref="R550:S550" si="124">SUM(L539:L550)</f>
        <v>0</v>
      </c>
      <c r="S550" s="129">
        <f t="shared" si="124"/>
        <v>0</v>
      </c>
    </row>
    <row r="551" spans="2:19" x14ac:dyDescent="0.2">
      <c r="B551" s="2">
        <v>541</v>
      </c>
      <c r="C551" s="13">
        <f t="shared" si="117"/>
        <v>0</v>
      </c>
      <c r="D551" s="119">
        <f t="shared" si="118"/>
        <v>0</v>
      </c>
      <c r="E551" s="13">
        <f t="shared" si="119"/>
        <v>0</v>
      </c>
      <c r="F551" s="13">
        <f t="shared" si="120"/>
        <v>0</v>
      </c>
      <c r="G551" s="13">
        <f t="shared" si="121"/>
        <v>0</v>
      </c>
      <c r="I551" s="120">
        <f t="shared" si="113"/>
        <v>0</v>
      </c>
      <c r="J551" s="120">
        <f t="shared" si="114"/>
        <v>0</v>
      </c>
      <c r="L551" s="13">
        <f t="shared" si="115"/>
        <v>0</v>
      </c>
      <c r="M551" s="13">
        <f t="shared" si="116"/>
        <v>0</v>
      </c>
    </row>
    <row r="552" spans="2:19" x14ac:dyDescent="0.2">
      <c r="B552" s="2">
        <v>542</v>
      </c>
      <c r="C552" s="13">
        <f t="shared" si="117"/>
        <v>0</v>
      </c>
      <c r="D552" s="119">
        <f t="shared" si="118"/>
        <v>0</v>
      </c>
      <c r="E552" s="13">
        <f t="shared" si="119"/>
        <v>0</v>
      </c>
      <c r="F552" s="13">
        <f t="shared" si="120"/>
        <v>0</v>
      </c>
      <c r="G552" s="13">
        <f t="shared" si="121"/>
        <v>0</v>
      </c>
      <c r="I552" s="120">
        <f t="shared" si="113"/>
        <v>0</v>
      </c>
      <c r="J552" s="120">
        <f t="shared" si="114"/>
        <v>0</v>
      </c>
      <c r="L552" s="13">
        <f t="shared" si="115"/>
        <v>0</v>
      </c>
      <c r="M552" s="13">
        <f t="shared" si="116"/>
        <v>0</v>
      </c>
    </row>
    <row r="553" spans="2:19" x14ac:dyDescent="0.2">
      <c r="B553" s="2">
        <v>543</v>
      </c>
      <c r="C553" s="13">
        <f t="shared" si="117"/>
        <v>0</v>
      </c>
      <c r="D553" s="119">
        <f t="shared" si="118"/>
        <v>0</v>
      </c>
      <c r="E553" s="13">
        <f t="shared" si="119"/>
        <v>0</v>
      </c>
      <c r="F553" s="13">
        <f t="shared" si="120"/>
        <v>0</v>
      </c>
      <c r="G553" s="13">
        <f t="shared" si="121"/>
        <v>0</v>
      </c>
      <c r="I553" s="120">
        <f t="shared" si="113"/>
        <v>0</v>
      </c>
      <c r="J553" s="120">
        <f t="shared" si="114"/>
        <v>0</v>
      </c>
      <c r="L553" s="13">
        <f t="shared" si="115"/>
        <v>0</v>
      </c>
      <c r="M553" s="13">
        <f t="shared" si="116"/>
        <v>0</v>
      </c>
    </row>
    <row r="554" spans="2:19" x14ac:dyDescent="0.2">
      <c r="B554" s="2">
        <v>544</v>
      </c>
      <c r="C554" s="13">
        <f t="shared" si="117"/>
        <v>0</v>
      </c>
      <c r="D554" s="119">
        <f t="shared" si="118"/>
        <v>0</v>
      </c>
      <c r="E554" s="13">
        <f t="shared" si="119"/>
        <v>0</v>
      </c>
      <c r="F554" s="13">
        <f t="shared" si="120"/>
        <v>0</v>
      </c>
      <c r="G554" s="13">
        <f t="shared" si="121"/>
        <v>0</v>
      </c>
      <c r="I554" s="120">
        <f t="shared" si="113"/>
        <v>0</v>
      </c>
      <c r="J554" s="120">
        <f t="shared" si="114"/>
        <v>0</v>
      </c>
      <c r="L554" s="13">
        <f t="shared" si="115"/>
        <v>0</v>
      </c>
      <c r="M554" s="13">
        <f t="shared" si="116"/>
        <v>0</v>
      </c>
    </row>
    <row r="555" spans="2:19" x14ac:dyDescent="0.2">
      <c r="B555" s="2">
        <v>545</v>
      </c>
      <c r="C555" s="13">
        <f t="shared" si="117"/>
        <v>0</v>
      </c>
      <c r="D555" s="119">
        <f t="shared" si="118"/>
        <v>0</v>
      </c>
      <c r="E555" s="13">
        <f t="shared" si="119"/>
        <v>0</v>
      </c>
      <c r="F555" s="13">
        <f t="shared" si="120"/>
        <v>0</v>
      </c>
      <c r="G555" s="13">
        <f t="shared" si="121"/>
        <v>0</v>
      </c>
      <c r="I555" s="120">
        <f t="shared" si="113"/>
        <v>0</v>
      </c>
      <c r="J555" s="120">
        <f t="shared" si="114"/>
        <v>0</v>
      </c>
      <c r="L555" s="13">
        <f t="shared" si="115"/>
        <v>0</v>
      </c>
      <c r="M555" s="13">
        <f t="shared" si="116"/>
        <v>0</v>
      </c>
    </row>
    <row r="556" spans="2:19" x14ac:dyDescent="0.2">
      <c r="B556" s="2">
        <v>546</v>
      </c>
      <c r="C556" s="13">
        <f t="shared" si="117"/>
        <v>0</v>
      </c>
      <c r="D556" s="119">
        <f t="shared" si="118"/>
        <v>0</v>
      </c>
      <c r="E556" s="13">
        <f t="shared" si="119"/>
        <v>0</v>
      </c>
      <c r="F556" s="13">
        <f t="shared" si="120"/>
        <v>0</v>
      </c>
      <c r="G556" s="13">
        <f t="shared" si="121"/>
        <v>0</v>
      </c>
      <c r="I556" s="120">
        <f t="shared" si="113"/>
        <v>0</v>
      </c>
      <c r="J556" s="120">
        <f t="shared" si="114"/>
        <v>0</v>
      </c>
      <c r="L556" s="13">
        <f t="shared" si="115"/>
        <v>0</v>
      </c>
      <c r="M556" s="13">
        <f t="shared" si="116"/>
        <v>0</v>
      </c>
    </row>
    <row r="557" spans="2:19" x14ac:dyDescent="0.2">
      <c r="B557" s="2">
        <v>547</v>
      </c>
      <c r="C557" s="13">
        <f t="shared" si="117"/>
        <v>0</v>
      </c>
      <c r="D557" s="119">
        <f t="shared" si="118"/>
        <v>0</v>
      </c>
      <c r="E557" s="13">
        <f t="shared" si="119"/>
        <v>0</v>
      </c>
      <c r="F557" s="13">
        <f t="shared" si="120"/>
        <v>0</v>
      </c>
      <c r="G557" s="13">
        <f t="shared" si="121"/>
        <v>0</v>
      </c>
      <c r="I557" s="120">
        <f t="shared" si="113"/>
        <v>0</v>
      </c>
      <c r="J557" s="120">
        <f t="shared" si="114"/>
        <v>0</v>
      </c>
      <c r="L557" s="13">
        <f t="shared" si="115"/>
        <v>0</v>
      </c>
      <c r="M557" s="13">
        <f t="shared" si="116"/>
        <v>0</v>
      </c>
    </row>
    <row r="558" spans="2:19" x14ac:dyDescent="0.2">
      <c r="B558" s="2">
        <v>548</v>
      </c>
      <c r="C558" s="13">
        <f t="shared" si="117"/>
        <v>0</v>
      </c>
      <c r="D558" s="119">
        <f t="shared" si="118"/>
        <v>0</v>
      </c>
      <c r="E558" s="13">
        <f t="shared" si="119"/>
        <v>0</v>
      </c>
      <c r="F558" s="13">
        <f t="shared" si="120"/>
        <v>0</v>
      </c>
      <c r="G558" s="13">
        <f t="shared" si="121"/>
        <v>0</v>
      </c>
      <c r="I558" s="120">
        <f t="shared" si="113"/>
        <v>0</v>
      </c>
      <c r="J558" s="120">
        <f t="shared" si="114"/>
        <v>0</v>
      </c>
      <c r="L558" s="13">
        <f t="shared" si="115"/>
        <v>0</v>
      </c>
      <c r="M558" s="13">
        <f t="shared" si="116"/>
        <v>0</v>
      </c>
    </row>
    <row r="559" spans="2:19" x14ac:dyDescent="0.2">
      <c r="B559" s="2">
        <v>549</v>
      </c>
      <c r="C559" s="13">
        <f t="shared" si="117"/>
        <v>0</v>
      </c>
      <c r="D559" s="119">
        <f t="shared" si="118"/>
        <v>0</v>
      </c>
      <c r="E559" s="13">
        <f t="shared" si="119"/>
        <v>0</v>
      </c>
      <c r="F559" s="13">
        <f t="shared" si="120"/>
        <v>0</v>
      </c>
      <c r="G559" s="13">
        <f t="shared" si="121"/>
        <v>0</v>
      </c>
      <c r="I559" s="120">
        <f t="shared" si="113"/>
        <v>0</v>
      </c>
      <c r="J559" s="120">
        <f t="shared" si="114"/>
        <v>0</v>
      </c>
      <c r="L559" s="13">
        <f t="shared" si="115"/>
        <v>0</v>
      </c>
      <c r="M559" s="13">
        <f t="shared" si="116"/>
        <v>0</v>
      </c>
    </row>
    <row r="560" spans="2:19" x14ac:dyDescent="0.2">
      <c r="B560" s="2">
        <v>550</v>
      </c>
      <c r="C560" s="13">
        <f t="shared" si="117"/>
        <v>0</v>
      </c>
      <c r="D560" s="119">
        <f t="shared" si="118"/>
        <v>0</v>
      </c>
      <c r="E560" s="13">
        <f t="shared" si="119"/>
        <v>0</v>
      </c>
      <c r="F560" s="13">
        <f t="shared" si="120"/>
        <v>0</v>
      </c>
      <c r="G560" s="13">
        <f t="shared" si="121"/>
        <v>0</v>
      </c>
      <c r="I560" s="120">
        <f t="shared" si="113"/>
        <v>0</v>
      </c>
      <c r="J560" s="120">
        <f t="shared" si="114"/>
        <v>0</v>
      </c>
      <c r="L560" s="13">
        <f t="shared" si="115"/>
        <v>0</v>
      </c>
      <c r="M560" s="13">
        <f t="shared" si="116"/>
        <v>0</v>
      </c>
    </row>
    <row r="561" spans="2:19" x14ac:dyDescent="0.2">
      <c r="B561" s="2">
        <v>551</v>
      </c>
      <c r="C561" s="13">
        <f t="shared" si="117"/>
        <v>0</v>
      </c>
      <c r="D561" s="119">
        <f t="shared" si="118"/>
        <v>0</v>
      </c>
      <c r="E561" s="13">
        <f t="shared" si="119"/>
        <v>0</v>
      </c>
      <c r="F561" s="13">
        <f t="shared" si="120"/>
        <v>0</v>
      </c>
      <c r="G561" s="13">
        <f t="shared" si="121"/>
        <v>0</v>
      </c>
      <c r="I561" s="120">
        <f t="shared" si="113"/>
        <v>0</v>
      </c>
      <c r="J561" s="120">
        <f t="shared" si="114"/>
        <v>0</v>
      </c>
      <c r="L561" s="13">
        <f t="shared" si="115"/>
        <v>0</v>
      </c>
      <c r="M561" s="13">
        <f t="shared" si="116"/>
        <v>0</v>
      </c>
    </row>
    <row r="562" spans="2:19" x14ac:dyDescent="0.2">
      <c r="B562" s="2">
        <v>552</v>
      </c>
      <c r="C562" s="13">
        <f t="shared" si="117"/>
        <v>0</v>
      </c>
      <c r="D562" s="119">
        <f t="shared" si="118"/>
        <v>0</v>
      </c>
      <c r="E562" s="13">
        <f t="shared" si="119"/>
        <v>0</v>
      </c>
      <c r="F562" s="13">
        <f t="shared" si="120"/>
        <v>0</v>
      </c>
      <c r="G562" s="13">
        <f t="shared" si="121"/>
        <v>0</v>
      </c>
      <c r="I562" s="120">
        <f t="shared" si="113"/>
        <v>0</v>
      </c>
      <c r="J562" s="120">
        <f t="shared" si="114"/>
        <v>0</v>
      </c>
      <c r="L562" s="13">
        <f t="shared" si="115"/>
        <v>0</v>
      </c>
      <c r="M562" s="13">
        <f t="shared" si="116"/>
        <v>0</v>
      </c>
      <c r="R562" s="129">
        <f t="shared" ref="R562:S562" si="125">SUM(L551:L562)</f>
        <v>0</v>
      </c>
      <c r="S562" s="129">
        <f t="shared" si="125"/>
        <v>0</v>
      </c>
    </row>
    <row r="563" spans="2:19" x14ac:dyDescent="0.2">
      <c r="B563" s="2">
        <v>553</v>
      </c>
      <c r="C563" s="13">
        <f t="shared" si="117"/>
        <v>0</v>
      </c>
      <c r="D563" s="119">
        <f t="shared" si="118"/>
        <v>0</v>
      </c>
      <c r="E563" s="13">
        <f t="shared" si="119"/>
        <v>0</v>
      </c>
      <c r="F563" s="13">
        <f t="shared" si="120"/>
        <v>0</v>
      </c>
      <c r="G563" s="13">
        <f t="shared" si="121"/>
        <v>0</v>
      </c>
      <c r="I563" s="120">
        <f t="shared" si="113"/>
        <v>0</v>
      </c>
      <c r="J563" s="120">
        <f t="shared" si="114"/>
        <v>0</v>
      </c>
      <c r="L563" s="13">
        <f t="shared" si="115"/>
        <v>0</v>
      </c>
      <c r="M563" s="13">
        <f t="shared" si="116"/>
        <v>0</v>
      </c>
    </row>
    <row r="564" spans="2:19" x14ac:dyDescent="0.2">
      <c r="B564" s="2">
        <v>554</v>
      </c>
      <c r="C564" s="13">
        <f t="shared" si="117"/>
        <v>0</v>
      </c>
      <c r="D564" s="119">
        <f t="shared" si="118"/>
        <v>0</v>
      </c>
      <c r="E564" s="13">
        <f t="shared" si="119"/>
        <v>0</v>
      </c>
      <c r="F564" s="13">
        <f t="shared" si="120"/>
        <v>0</v>
      </c>
      <c r="G564" s="13">
        <f t="shared" si="121"/>
        <v>0</v>
      </c>
      <c r="I564" s="120">
        <f t="shared" si="113"/>
        <v>0</v>
      </c>
      <c r="J564" s="120">
        <f t="shared" si="114"/>
        <v>0</v>
      </c>
      <c r="L564" s="13">
        <f t="shared" si="115"/>
        <v>0</v>
      </c>
      <c r="M564" s="13">
        <f t="shared" si="116"/>
        <v>0</v>
      </c>
    </row>
    <row r="565" spans="2:19" x14ac:dyDescent="0.2">
      <c r="B565" s="2">
        <v>555</v>
      </c>
      <c r="C565" s="13">
        <f t="shared" si="117"/>
        <v>0</v>
      </c>
      <c r="D565" s="119">
        <f t="shared" si="118"/>
        <v>0</v>
      </c>
      <c r="E565" s="13">
        <f t="shared" si="119"/>
        <v>0</v>
      </c>
      <c r="F565" s="13">
        <f t="shared" si="120"/>
        <v>0</v>
      </c>
      <c r="G565" s="13">
        <f t="shared" si="121"/>
        <v>0</v>
      </c>
      <c r="I565" s="120">
        <f t="shared" si="113"/>
        <v>0</v>
      </c>
      <c r="J565" s="120">
        <f t="shared" si="114"/>
        <v>0</v>
      </c>
      <c r="L565" s="13">
        <f t="shared" si="115"/>
        <v>0</v>
      </c>
      <c r="M565" s="13">
        <f t="shared" si="116"/>
        <v>0</v>
      </c>
    </row>
    <row r="566" spans="2:19" x14ac:dyDescent="0.2">
      <c r="B566" s="2">
        <v>556</v>
      </c>
      <c r="C566" s="13">
        <f t="shared" si="117"/>
        <v>0</v>
      </c>
      <c r="D566" s="119">
        <f t="shared" si="118"/>
        <v>0</v>
      </c>
      <c r="E566" s="13">
        <f t="shared" si="119"/>
        <v>0</v>
      </c>
      <c r="F566" s="13">
        <f t="shared" si="120"/>
        <v>0</v>
      </c>
      <c r="G566" s="13">
        <f t="shared" si="121"/>
        <v>0</v>
      </c>
      <c r="I566" s="120">
        <f t="shared" si="113"/>
        <v>0</v>
      </c>
      <c r="J566" s="120">
        <f t="shared" si="114"/>
        <v>0</v>
      </c>
      <c r="L566" s="13">
        <f t="shared" si="115"/>
        <v>0</v>
      </c>
      <c r="M566" s="13">
        <f t="shared" si="116"/>
        <v>0</v>
      </c>
    </row>
    <row r="567" spans="2:19" x14ac:dyDescent="0.2">
      <c r="B567" s="2">
        <v>557</v>
      </c>
      <c r="C567" s="13">
        <f t="shared" si="117"/>
        <v>0</v>
      </c>
      <c r="D567" s="119">
        <f t="shared" si="118"/>
        <v>0</v>
      </c>
      <c r="E567" s="13">
        <f t="shared" si="119"/>
        <v>0</v>
      </c>
      <c r="F567" s="13">
        <f t="shared" si="120"/>
        <v>0</v>
      </c>
      <c r="G567" s="13">
        <f t="shared" si="121"/>
        <v>0</v>
      </c>
      <c r="I567" s="120">
        <f t="shared" si="113"/>
        <v>0</v>
      </c>
      <c r="J567" s="120">
        <f t="shared" si="114"/>
        <v>0</v>
      </c>
      <c r="L567" s="13">
        <f t="shared" si="115"/>
        <v>0</v>
      </c>
      <c r="M567" s="13">
        <f t="shared" si="116"/>
        <v>0</v>
      </c>
    </row>
    <row r="568" spans="2:19" x14ac:dyDescent="0.2">
      <c r="B568" s="2">
        <v>558</v>
      </c>
      <c r="C568" s="13">
        <f t="shared" si="117"/>
        <v>0</v>
      </c>
      <c r="D568" s="119">
        <f t="shared" si="118"/>
        <v>0</v>
      </c>
      <c r="E568" s="13">
        <f t="shared" si="119"/>
        <v>0</v>
      </c>
      <c r="F568" s="13">
        <f t="shared" si="120"/>
        <v>0</v>
      </c>
      <c r="G568" s="13">
        <f t="shared" si="121"/>
        <v>0</v>
      </c>
      <c r="I568" s="120">
        <f t="shared" si="113"/>
        <v>0</v>
      </c>
      <c r="J568" s="120">
        <f t="shared" si="114"/>
        <v>0</v>
      </c>
      <c r="L568" s="13">
        <f t="shared" si="115"/>
        <v>0</v>
      </c>
      <c r="M568" s="13">
        <f t="shared" si="116"/>
        <v>0</v>
      </c>
    </row>
    <row r="569" spans="2:19" x14ac:dyDescent="0.2">
      <c r="B569" s="2">
        <v>559</v>
      </c>
      <c r="C569" s="13">
        <f t="shared" si="117"/>
        <v>0</v>
      </c>
      <c r="D569" s="119">
        <f t="shared" si="118"/>
        <v>0</v>
      </c>
      <c r="E569" s="13">
        <f t="shared" si="119"/>
        <v>0</v>
      </c>
      <c r="F569" s="13">
        <f t="shared" si="120"/>
        <v>0</v>
      </c>
      <c r="G569" s="13">
        <f t="shared" si="121"/>
        <v>0</v>
      </c>
      <c r="I569" s="120">
        <f t="shared" si="113"/>
        <v>0</v>
      </c>
      <c r="J569" s="120">
        <f t="shared" si="114"/>
        <v>0</v>
      </c>
      <c r="L569" s="13">
        <f t="shared" si="115"/>
        <v>0</v>
      </c>
      <c r="M569" s="13">
        <f t="shared" si="116"/>
        <v>0</v>
      </c>
    </row>
    <row r="570" spans="2:19" x14ac:dyDescent="0.2">
      <c r="B570" s="2">
        <v>560</v>
      </c>
      <c r="C570" s="13">
        <f t="shared" si="117"/>
        <v>0</v>
      </c>
      <c r="D570" s="119">
        <f t="shared" si="118"/>
        <v>0</v>
      </c>
      <c r="E570" s="13">
        <f t="shared" si="119"/>
        <v>0</v>
      </c>
      <c r="F570" s="13">
        <f t="shared" si="120"/>
        <v>0</v>
      </c>
      <c r="G570" s="13">
        <f t="shared" si="121"/>
        <v>0</v>
      </c>
      <c r="I570" s="120">
        <f t="shared" si="113"/>
        <v>0</v>
      </c>
      <c r="J570" s="120">
        <f t="shared" si="114"/>
        <v>0</v>
      </c>
      <c r="L570" s="13">
        <f t="shared" si="115"/>
        <v>0</v>
      </c>
      <c r="M570" s="13">
        <f t="shared" si="116"/>
        <v>0</v>
      </c>
    </row>
    <row r="571" spans="2:19" x14ac:dyDescent="0.2">
      <c r="B571" s="2">
        <v>561</v>
      </c>
      <c r="C571" s="13">
        <f t="shared" si="117"/>
        <v>0</v>
      </c>
      <c r="D571" s="119">
        <f t="shared" si="118"/>
        <v>0</v>
      </c>
      <c r="E571" s="13">
        <f t="shared" si="119"/>
        <v>0</v>
      </c>
      <c r="F571" s="13">
        <f t="shared" si="120"/>
        <v>0</v>
      </c>
      <c r="G571" s="13">
        <f t="shared" si="121"/>
        <v>0</v>
      </c>
      <c r="I571" s="120">
        <f t="shared" si="113"/>
        <v>0</v>
      </c>
      <c r="J571" s="120">
        <f t="shared" si="114"/>
        <v>0</v>
      </c>
      <c r="L571" s="13">
        <f t="shared" si="115"/>
        <v>0</v>
      </c>
      <c r="M571" s="13">
        <f t="shared" si="116"/>
        <v>0</v>
      </c>
    </row>
    <row r="572" spans="2:19" x14ac:dyDescent="0.2">
      <c r="B572" s="2">
        <v>562</v>
      </c>
      <c r="C572" s="13">
        <f t="shared" si="117"/>
        <v>0</v>
      </c>
      <c r="D572" s="119">
        <f t="shared" si="118"/>
        <v>0</v>
      </c>
      <c r="E572" s="13">
        <f t="shared" si="119"/>
        <v>0</v>
      </c>
      <c r="F572" s="13">
        <f t="shared" si="120"/>
        <v>0</v>
      </c>
      <c r="G572" s="13">
        <f t="shared" si="121"/>
        <v>0</v>
      </c>
      <c r="I572" s="120">
        <f t="shared" si="113"/>
        <v>0</v>
      </c>
      <c r="J572" s="120">
        <f t="shared" si="114"/>
        <v>0</v>
      </c>
      <c r="L572" s="13">
        <f t="shared" si="115"/>
        <v>0</v>
      </c>
      <c r="M572" s="13">
        <f t="shared" si="116"/>
        <v>0</v>
      </c>
    </row>
    <row r="573" spans="2:19" x14ac:dyDescent="0.2">
      <c r="B573" s="2">
        <v>563</v>
      </c>
      <c r="C573" s="13">
        <f t="shared" si="117"/>
        <v>0</v>
      </c>
      <c r="D573" s="119">
        <f t="shared" si="118"/>
        <v>0</v>
      </c>
      <c r="E573" s="13">
        <f t="shared" si="119"/>
        <v>0</v>
      </c>
      <c r="F573" s="13">
        <f t="shared" si="120"/>
        <v>0</v>
      </c>
      <c r="G573" s="13">
        <f t="shared" si="121"/>
        <v>0</v>
      </c>
      <c r="I573" s="120">
        <f t="shared" si="113"/>
        <v>0</v>
      </c>
      <c r="J573" s="120">
        <f t="shared" si="114"/>
        <v>0</v>
      </c>
      <c r="L573" s="13">
        <f t="shared" si="115"/>
        <v>0</v>
      </c>
      <c r="M573" s="13">
        <f t="shared" si="116"/>
        <v>0</v>
      </c>
    </row>
    <row r="574" spans="2:19" x14ac:dyDescent="0.2">
      <c r="B574" s="2">
        <v>564</v>
      </c>
      <c r="C574" s="13">
        <f t="shared" si="117"/>
        <v>0</v>
      </c>
      <c r="D574" s="119">
        <f t="shared" si="118"/>
        <v>0</v>
      </c>
      <c r="E574" s="13">
        <f t="shared" si="119"/>
        <v>0</v>
      </c>
      <c r="F574" s="13">
        <f t="shared" si="120"/>
        <v>0</v>
      </c>
      <c r="G574" s="13">
        <f t="shared" si="121"/>
        <v>0</v>
      </c>
      <c r="I574" s="120">
        <f t="shared" si="113"/>
        <v>0</v>
      </c>
      <c r="J574" s="120">
        <f t="shared" si="114"/>
        <v>0</v>
      </c>
      <c r="L574" s="13">
        <f t="shared" si="115"/>
        <v>0</v>
      </c>
      <c r="M574" s="13">
        <f t="shared" si="116"/>
        <v>0</v>
      </c>
      <c r="R574" s="129">
        <f t="shared" ref="R574:S574" si="126">SUM(L563:L574)</f>
        <v>0</v>
      </c>
      <c r="S574" s="129">
        <f t="shared" si="126"/>
        <v>0</v>
      </c>
    </row>
    <row r="575" spans="2:19" x14ac:dyDescent="0.2">
      <c r="B575" s="2">
        <v>565</v>
      </c>
      <c r="C575" s="13">
        <f t="shared" si="117"/>
        <v>0</v>
      </c>
      <c r="D575" s="119">
        <f t="shared" si="118"/>
        <v>0</v>
      </c>
      <c r="E575" s="13">
        <f t="shared" si="119"/>
        <v>0</v>
      </c>
      <c r="F575" s="13">
        <f t="shared" si="120"/>
        <v>0</v>
      </c>
      <c r="G575" s="13">
        <f t="shared" si="121"/>
        <v>0</v>
      </c>
      <c r="I575" s="120">
        <f t="shared" si="113"/>
        <v>0</v>
      </c>
      <c r="J575" s="120">
        <f t="shared" si="114"/>
        <v>0</v>
      </c>
      <c r="L575" s="13">
        <f t="shared" si="115"/>
        <v>0</v>
      </c>
      <c r="M575" s="13">
        <f t="shared" si="116"/>
        <v>0</v>
      </c>
    </row>
    <row r="576" spans="2:19" x14ac:dyDescent="0.2">
      <c r="B576" s="2">
        <v>566</v>
      </c>
      <c r="C576" s="13">
        <f t="shared" si="117"/>
        <v>0</v>
      </c>
      <c r="D576" s="119">
        <f t="shared" si="118"/>
        <v>0</v>
      </c>
      <c r="E576" s="13">
        <f t="shared" si="119"/>
        <v>0</v>
      </c>
      <c r="F576" s="13">
        <f t="shared" si="120"/>
        <v>0</v>
      </c>
      <c r="G576" s="13">
        <f t="shared" si="121"/>
        <v>0</v>
      </c>
      <c r="I576" s="120">
        <f t="shared" si="113"/>
        <v>0</v>
      </c>
      <c r="J576" s="120">
        <f t="shared" si="114"/>
        <v>0</v>
      </c>
      <c r="L576" s="13">
        <f t="shared" si="115"/>
        <v>0</v>
      </c>
      <c r="M576" s="13">
        <f t="shared" si="116"/>
        <v>0</v>
      </c>
    </row>
    <row r="577" spans="2:19" x14ac:dyDescent="0.2">
      <c r="B577" s="2">
        <v>567</v>
      </c>
      <c r="C577" s="13">
        <f t="shared" si="117"/>
        <v>0</v>
      </c>
      <c r="D577" s="119">
        <f t="shared" si="118"/>
        <v>0</v>
      </c>
      <c r="E577" s="13">
        <f t="shared" si="119"/>
        <v>0</v>
      </c>
      <c r="F577" s="13">
        <f t="shared" si="120"/>
        <v>0</v>
      </c>
      <c r="G577" s="13">
        <f t="shared" si="121"/>
        <v>0</v>
      </c>
      <c r="I577" s="120">
        <f t="shared" si="113"/>
        <v>0</v>
      </c>
      <c r="J577" s="120">
        <f t="shared" si="114"/>
        <v>0</v>
      </c>
      <c r="L577" s="13">
        <f t="shared" si="115"/>
        <v>0</v>
      </c>
      <c r="M577" s="13">
        <f t="shared" si="116"/>
        <v>0</v>
      </c>
    </row>
    <row r="578" spans="2:19" x14ac:dyDescent="0.2">
      <c r="B578" s="2">
        <v>568</v>
      </c>
      <c r="C578" s="13">
        <f t="shared" si="117"/>
        <v>0</v>
      </c>
      <c r="D578" s="119">
        <f t="shared" si="118"/>
        <v>0</v>
      </c>
      <c r="E578" s="13">
        <f t="shared" si="119"/>
        <v>0</v>
      </c>
      <c r="F578" s="13">
        <f t="shared" si="120"/>
        <v>0</v>
      </c>
      <c r="G578" s="13">
        <f t="shared" si="121"/>
        <v>0</v>
      </c>
      <c r="I578" s="120">
        <f t="shared" si="113"/>
        <v>0</v>
      </c>
      <c r="J578" s="120">
        <f t="shared" si="114"/>
        <v>0</v>
      </c>
      <c r="L578" s="13">
        <f t="shared" si="115"/>
        <v>0</v>
      </c>
      <c r="M578" s="13">
        <f t="shared" si="116"/>
        <v>0</v>
      </c>
    </row>
    <row r="579" spans="2:19" x14ac:dyDescent="0.2">
      <c r="B579" s="2">
        <v>569</v>
      </c>
      <c r="C579" s="13">
        <f t="shared" si="117"/>
        <v>0</v>
      </c>
      <c r="D579" s="119">
        <f t="shared" si="118"/>
        <v>0</v>
      </c>
      <c r="E579" s="13">
        <f t="shared" si="119"/>
        <v>0</v>
      </c>
      <c r="F579" s="13">
        <f t="shared" si="120"/>
        <v>0</v>
      </c>
      <c r="G579" s="13">
        <f t="shared" si="121"/>
        <v>0</v>
      </c>
      <c r="I579" s="120">
        <f t="shared" si="113"/>
        <v>0</v>
      </c>
      <c r="J579" s="120">
        <f t="shared" si="114"/>
        <v>0</v>
      </c>
      <c r="L579" s="13">
        <f t="shared" si="115"/>
        <v>0</v>
      </c>
      <c r="M579" s="13">
        <f t="shared" si="116"/>
        <v>0</v>
      </c>
    </row>
    <row r="580" spans="2:19" x14ac:dyDescent="0.2">
      <c r="B580" s="2">
        <v>570</v>
      </c>
      <c r="C580" s="13">
        <f t="shared" si="117"/>
        <v>0</v>
      </c>
      <c r="D580" s="119">
        <f t="shared" si="118"/>
        <v>0</v>
      </c>
      <c r="E580" s="13">
        <f t="shared" si="119"/>
        <v>0</v>
      </c>
      <c r="F580" s="13">
        <f t="shared" si="120"/>
        <v>0</v>
      </c>
      <c r="G580" s="13">
        <f t="shared" si="121"/>
        <v>0</v>
      </c>
      <c r="I580" s="120">
        <f t="shared" si="113"/>
        <v>0</v>
      </c>
      <c r="J580" s="120">
        <f t="shared" si="114"/>
        <v>0</v>
      </c>
      <c r="L580" s="13">
        <f t="shared" si="115"/>
        <v>0</v>
      </c>
      <c r="M580" s="13">
        <f t="shared" si="116"/>
        <v>0</v>
      </c>
    </row>
    <row r="581" spans="2:19" x14ac:dyDescent="0.2">
      <c r="B581" s="2">
        <v>571</v>
      </c>
      <c r="C581" s="13">
        <f t="shared" si="117"/>
        <v>0</v>
      </c>
      <c r="D581" s="119">
        <f t="shared" si="118"/>
        <v>0</v>
      </c>
      <c r="E581" s="13">
        <f t="shared" si="119"/>
        <v>0</v>
      </c>
      <c r="F581" s="13">
        <f t="shared" si="120"/>
        <v>0</v>
      </c>
      <c r="G581" s="13">
        <f t="shared" si="121"/>
        <v>0</v>
      </c>
      <c r="I581" s="120">
        <f t="shared" si="113"/>
        <v>0</v>
      </c>
      <c r="J581" s="120">
        <f t="shared" si="114"/>
        <v>0</v>
      </c>
      <c r="L581" s="13">
        <f t="shared" si="115"/>
        <v>0</v>
      </c>
      <c r="M581" s="13">
        <f t="shared" si="116"/>
        <v>0</v>
      </c>
    </row>
    <row r="582" spans="2:19" x14ac:dyDescent="0.2">
      <c r="B582" s="2">
        <v>572</v>
      </c>
      <c r="C582" s="13">
        <f t="shared" si="117"/>
        <v>0</v>
      </c>
      <c r="D582" s="119">
        <f t="shared" si="118"/>
        <v>0</v>
      </c>
      <c r="E582" s="13">
        <f t="shared" si="119"/>
        <v>0</v>
      </c>
      <c r="F582" s="13">
        <f t="shared" si="120"/>
        <v>0</v>
      </c>
      <c r="G582" s="13">
        <f t="shared" si="121"/>
        <v>0</v>
      </c>
      <c r="I582" s="120">
        <f t="shared" si="113"/>
        <v>0</v>
      </c>
      <c r="J582" s="120">
        <f t="shared" si="114"/>
        <v>0</v>
      </c>
      <c r="L582" s="13">
        <f t="shared" si="115"/>
        <v>0</v>
      </c>
      <c r="M582" s="13">
        <f t="shared" si="116"/>
        <v>0</v>
      </c>
    </row>
    <row r="583" spans="2:19" x14ac:dyDescent="0.2">
      <c r="B583" s="2">
        <v>573</v>
      </c>
      <c r="C583" s="13">
        <f t="shared" si="117"/>
        <v>0</v>
      </c>
      <c r="D583" s="119">
        <f t="shared" si="118"/>
        <v>0</v>
      </c>
      <c r="E583" s="13">
        <f t="shared" si="119"/>
        <v>0</v>
      </c>
      <c r="F583" s="13">
        <f t="shared" si="120"/>
        <v>0</v>
      </c>
      <c r="G583" s="13">
        <f t="shared" si="121"/>
        <v>0</v>
      </c>
      <c r="I583" s="120">
        <f t="shared" si="113"/>
        <v>0</v>
      </c>
      <c r="J583" s="120">
        <f t="shared" si="114"/>
        <v>0</v>
      </c>
      <c r="L583" s="13">
        <f t="shared" si="115"/>
        <v>0</v>
      </c>
      <c r="M583" s="13">
        <f t="shared" si="116"/>
        <v>0</v>
      </c>
    </row>
    <row r="584" spans="2:19" x14ac:dyDescent="0.2">
      <c r="B584" s="2">
        <v>574</v>
      </c>
      <c r="C584" s="13">
        <f t="shared" si="117"/>
        <v>0</v>
      </c>
      <c r="D584" s="119">
        <f t="shared" si="118"/>
        <v>0</v>
      </c>
      <c r="E584" s="13">
        <f t="shared" si="119"/>
        <v>0</v>
      </c>
      <c r="F584" s="13">
        <f t="shared" si="120"/>
        <v>0</v>
      </c>
      <c r="G584" s="13">
        <f t="shared" si="121"/>
        <v>0</v>
      </c>
      <c r="I584" s="120">
        <f t="shared" si="113"/>
        <v>0</v>
      </c>
      <c r="J584" s="120">
        <f t="shared" si="114"/>
        <v>0</v>
      </c>
      <c r="L584" s="13">
        <f t="shared" si="115"/>
        <v>0</v>
      </c>
      <c r="M584" s="13">
        <f t="shared" si="116"/>
        <v>0</v>
      </c>
    </row>
    <row r="585" spans="2:19" x14ac:dyDescent="0.2">
      <c r="B585" s="2">
        <v>575</v>
      </c>
      <c r="C585" s="13">
        <f t="shared" si="117"/>
        <v>0</v>
      </c>
      <c r="D585" s="119">
        <f t="shared" si="118"/>
        <v>0</v>
      </c>
      <c r="E585" s="13">
        <f t="shared" si="119"/>
        <v>0</v>
      </c>
      <c r="F585" s="13">
        <f t="shared" si="120"/>
        <v>0</v>
      </c>
      <c r="G585" s="13">
        <f t="shared" si="121"/>
        <v>0</v>
      </c>
      <c r="I585" s="120">
        <f t="shared" si="113"/>
        <v>0</v>
      </c>
      <c r="J585" s="120">
        <f t="shared" si="114"/>
        <v>0</v>
      </c>
      <c r="L585" s="13">
        <f t="shared" si="115"/>
        <v>0</v>
      </c>
      <c r="M585" s="13">
        <f t="shared" si="116"/>
        <v>0</v>
      </c>
    </row>
    <row r="586" spans="2:19" x14ac:dyDescent="0.2">
      <c r="B586" s="2">
        <v>576</v>
      </c>
      <c r="C586" s="13">
        <f t="shared" si="117"/>
        <v>0</v>
      </c>
      <c r="D586" s="119">
        <f t="shared" si="118"/>
        <v>0</v>
      </c>
      <c r="E586" s="13">
        <f t="shared" si="119"/>
        <v>0</v>
      </c>
      <c r="F586" s="13">
        <f t="shared" si="120"/>
        <v>0</v>
      </c>
      <c r="G586" s="13">
        <f t="shared" si="121"/>
        <v>0</v>
      </c>
      <c r="I586" s="120">
        <f t="shared" si="113"/>
        <v>0</v>
      </c>
      <c r="J586" s="120">
        <f t="shared" si="114"/>
        <v>0</v>
      </c>
      <c r="L586" s="13">
        <f t="shared" si="115"/>
        <v>0</v>
      </c>
      <c r="M586" s="13">
        <f t="shared" si="116"/>
        <v>0</v>
      </c>
      <c r="R586" s="129">
        <f t="shared" ref="R586:S586" si="127">SUM(L575:L586)</f>
        <v>0</v>
      </c>
      <c r="S586" s="129">
        <f t="shared" si="127"/>
        <v>0</v>
      </c>
    </row>
    <row r="587" spans="2:19" x14ac:dyDescent="0.2">
      <c r="B587" s="2">
        <v>577</v>
      </c>
      <c r="C587" s="13">
        <f t="shared" si="117"/>
        <v>0</v>
      </c>
      <c r="D587" s="119">
        <f t="shared" si="118"/>
        <v>0</v>
      </c>
      <c r="E587" s="13">
        <f t="shared" si="119"/>
        <v>0</v>
      </c>
      <c r="F587" s="13">
        <f t="shared" si="120"/>
        <v>0</v>
      </c>
      <c r="G587" s="13">
        <f t="shared" si="121"/>
        <v>0</v>
      </c>
      <c r="I587" s="120">
        <f t="shared" si="113"/>
        <v>0</v>
      </c>
      <c r="J587" s="120">
        <f t="shared" si="114"/>
        <v>0</v>
      </c>
      <c r="L587" s="13">
        <f t="shared" si="115"/>
        <v>0</v>
      </c>
      <c r="M587" s="13">
        <f t="shared" si="116"/>
        <v>0</v>
      </c>
    </row>
    <row r="588" spans="2:19" x14ac:dyDescent="0.2">
      <c r="B588" s="2">
        <v>578</v>
      </c>
      <c r="C588" s="13">
        <f t="shared" si="117"/>
        <v>0</v>
      </c>
      <c r="D588" s="119">
        <f t="shared" si="118"/>
        <v>0</v>
      </c>
      <c r="E588" s="13">
        <f t="shared" si="119"/>
        <v>0</v>
      </c>
      <c r="F588" s="13">
        <f t="shared" si="120"/>
        <v>0</v>
      </c>
      <c r="G588" s="13">
        <f t="shared" si="121"/>
        <v>0</v>
      </c>
      <c r="I588" s="120">
        <f t="shared" ref="I588:I612" si="128">IF(B588&gt;$D$6*12,0,L588/(L588+M588))</f>
        <v>0</v>
      </c>
      <c r="J588" s="120">
        <f t="shared" ref="J588:J612" si="129">IF(B588&gt;$D$6*12,0,M588/(L588+M588))</f>
        <v>0</v>
      </c>
      <c r="L588" s="13">
        <f t="shared" ref="L588:L612" si="130">IF(B588&gt;$D$6*12,0,F588+E588)</f>
        <v>0</v>
      </c>
      <c r="M588" s="13">
        <f t="shared" ref="M588:M612" si="131">IF(B588&gt;$D$6*12,0,-E588)</f>
        <v>0</v>
      </c>
    </row>
    <row r="589" spans="2:19" x14ac:dyDescent="0.2">
      <c r="B589" s="2">
        <v>579</v>
      </c>
      <c r="C589" s="13">
        <f t="shared" ref="C589:C612" si="132">IF(B589&gt;$D$6*12,0,G588)</f>
        <v>0</v>
      </c>
      <c r="D589" s="119">
        <f t="shared" ref="D589:D612" si="133">IF(B589&gt;$D$6*12,0,D588)</f>
        <v>0</v>
      </c>
      <c r="E589" s="13">
        <f t="shared" ref="E589:E612" si="134">IF(B589&gt;$D$6*12,0,D589*C589)</f>
        <v>0</v>
      </c>
      <c r="F589" s="13">
        <f t="shared" ref="F589:F612" si="135">IF(B589&gt;$D$6*12,0,F588)</f>
        <v>0</v>
      </c>
      <c r="G589" s="13">
        <f t="shared" ref="G589:G612" si="136">IF(B589&gt;$D$6*12,0,C589+E589+F589)</f>
        <v>0</v>
      </c>
      <c r="I589" s="120">
        <f t="shared" si="128"/>
        <v>0</v>
      </c>
      <c r="J589" s="120">
        <f t="shared" si="129"/>
        <v>0</v>
      </c>
      <c r="L589" s="13">
        <f t="shared" si="130"/>
        <v>0</v>
      </c>
      <c r="M589" s="13">
        <f t="shared" si="131"/>
        <v>0</v>
      </c>
    </row>
    <row r="590" spans="2:19" x14ac:dyDescent="0.2">
      <c r="B590" s="2">
        <v>580</v>
      </c>
      <c r="C590" s="13">
        <f t="shared" si="132"/>
        <v>0</v>
      </c>
      <c r="D590" s="119">
        <f t="shared" si="133"/>
        <v>0</v>
      </c>
      <c r="E590" s="13">
        <f t="shared" si="134"/>
        <v>0</v>
      </c>
      <c r="F590" s="13">
        <f t="shared" si="135"/>
        <v>0</v>
      </c>
      <c r="G590" s="13">
        <f t="shared" si="136"/>
        <v>0</v>
      </c>
      <c r="I590" s="120">
        <f t="shared" si="128"/>
        <v>0</v>
      </c>
      <c r="J590" s="120">
        <f t="shared" si="129"/>
        <v>0</v>
      </c>
      <c r="L590" s="13">
        <f t="shared" si="130"/>
        <v>0</v>
      </c>
      <c r="M590" s="13">
        <f t="shared" si="131"/>
        <v>0</v>
      </c>
    </row>
    <row r="591" spans="2:19" x14ac:dyDescent="0.2">
      <c r="B591" s="2">
        <v>581</v>
      </c>
      <c r="C591" s="13">
        <f t="shared" si="132"/>
        <v>0</v>
      </c>
      <c r="D591" s="119">
        <f t="shared" si="133"/>
        <v>0</v>
      </c>
      <c r="E591" s="13">
        <f t="shared" si="134"/>
        <v>0</v>
      </c>
      <c r="F591" s="13">
        <f t="shared" si="135"/>
        <v>0</v>
      </c>
      <c r="G591" s="13">
        <f t="shared" si="136"/>
        <v>0</v>
      </c>
      <c r="I591" s="120">
        <f t="shared" si="128"/>
        <v>0</v>
      </c>
      <c r="J591" s="120">
        <f t="shared" si="129"/>
        <v>0</v>
      </c>
      <c r="L591" s="13">
        <f t="shared" si="130"/>
        <v>0</v>
      </c>
      <c r="M591" s="13">
        <f t="shared" si="131"/>
        <v>0</v>
      </c>
    </row>
    <row r="592" spans="2:19" x14ac:dyDescent="0.2">
      <c r="B592" s="2">
        <v>582</v>
      </c>
      <c r="C592" s="13">
        <f t="shared" si="132"/>
        <v>0</v>
      </c>
      <c r="D592" s="119">
        <f t="shared" si="133"/>
        <v>0</v>
      </c>
      <c r="E592" s="13">
        <f t="shared" si="134"/>
        <v>0</v>
      </c>
      <c r="F592" s="13">
        <f t="shared" si="135"/>
        <v>0</v>
      </c>
      <c r="G592" s="13">
        <f t="shared" si="136"/>
        <v>0</v>
      </c>
      <c r="I592" s="120">
        <f t="shared" si="128"/>
        <v>0</v>
      </c>
      <c r="J592" s="120">
        <f t="shared" si="129"/>
        <v>0</v>
      </c>
      <c r="L592" s="13">
        <f t="shared" si="130"/>
        <v>0</v>
      </c>
      <c r="M592" s="13">
        <f t="shared" si="131"/>
        <v>0</v>
      </c>
    </row>
    <row r="593" spans="2:19" x14ac:dyDescent="0.2">
      <c r="B593" s="2">
        <v>583</v>
      </c>
      <c r="C593" s="13">
        <f t="shared" si="132"/>
        <v>0</v>
      </c>
      <c r="D593" s="119">
        <f t="shared" si="133"/>
        <v>0</v>
      </c>
      <c r="E593" s="13">
        <f t="shared" si="134"/>
        <v>0</v>
      </c>
      <c r="F593" s="13">
        <f t="shared" si="135"/>
        <v>0</v>
      </c>
      <c r="G593" s="13">
        <f t="shared" si="136"/>
        <v>0</v>
      </c>
      <c r="I593" s="120">
        <f t="shared" si="128"/>
        <v>0</v>
      </c>
      <c r="J593" s="120">
        <f t="shared" si="129"/>
        <v>0</v>
      </c>
      <c r="L593" s="13">
        <f t="shared" si="130"/>
        <v>0</v>
      </c>
      <c r="M593" s="13">
        <f t="shared" si="131"/>
        <v>0</v>
      </c>
    </row>
    <row r="594" spans="2:19" x14ac:dyDescent="0.2">
      <c r="B594" s="2">
        <v>584</v>
      </c>
      <c r="C594" s="13">
        <f t="shared" si="132"/>
        <v>0</v>
      </c>
      <c r="D594" s="119">
        <f t="shared" si="133"/>
        <v>0</v>
      </c>
      <c r="E594" s="13">
        <f t="shared" si="134"/>
        <v>0</v>
      </c>
      <c r="F594" s="13">
        <f t="shared" si="135"/>
        <v>0</v>
      </c>
      <c r="G594" s="13">
        <f t="shared" si="136"/>
        <v>0</v>
      </c>
      <c r="I594" s="120">
        <f t="shared" si="128"/>
        <v>0</v>
      </c>
      <c r="J594" s="120">
        <f t="shared" si="129"/>
        <v>0</v>
      </c>
      <c r="L594" s="13">
        <f t="shared" si="130"/>
        <v>0</v>
      </c>
      <c r="M594" s="13">
        <f t="shared" si="131"/>
        <v>0</v>
      </c>
    </row>
    <row r="595" spans="2:19" x14ac:dyDescent="0.2">
      <c r="B595" s="2">
        <v>585</v>
      </c>
      <c r="C595" s="13">
        <f t="shared" si="132"/>
        <v>0</v>
      </c>
      <c r="D595" s="119">
        <f t="shared" si="133"/>
        <v>0</v>
      </c>
      <c r="E595" s="13">
        <f t="shared" si="134"/>
        <v>0</v>
      </c>
      <c r="F595" s="13">
        <f t="shared" si="135"/>
        <v>0</v>
      </c>
      <c r="G595" s="13">
        <f t="shared" si="136"/>
        <v>0</v>
      </c>
      <c r="I595" s="120">
        <f t="shared" si="128"/>
        <v>0</v>
      </c>
      <c r="J595" s="120">
        <f t="shared" si="129"/>
        <v>0</v>
      </c>
      <c r="L595" s="13">
        <f t="shared" si="130"/>
        <v>0</v>
      </c>
      <c r="M595" s="13">
        <f t="shared" si="131"/>
        <v>0</v>
      </c>
    </row>
    <row r="596" spans="2:19" x14ac:dyDescent="0.2">
      <c r="B596" s="2">
        <v>586</v>
      </c>
      <c r="C596" s="13">
        <f t="shared" si="132"/>
        <v>0</v>
      </c>
      <c r="D596" s="119">
        <f t="shared" si="133"/>
        <v>0</v>
      </c>
      <c r="E596" s="13">
        <f t="shared" si="134"/>
        <v>0</v>
      </c>
      <c r="F596" s="13">
        <f t="shared" si="135"/>
        <v>0</v>
      </c>
      <c r="G596" s="13">
        <f t="shared" si="136"/>
        <v>0</v>
      </c>
      <c r="I596" s="120">
        <f t="shared" si="128"/>
        <v>0</v>
      </c>
      <c r="J596" s="120">
        <f t="shared" si="129"/>
        <v>0</v>
      </c>
      <c r="L596" s="13">
        <f t="shared" si="130"/>
        <v>0</v>
      </c>
      <c r="M596" s="13">
        <f t="shared" si="131"/>
        <v>0</v>
      </c>
    </row>
    <row r="597" spans="2:19" x14ac:dyDescent="0.2">
      <c r="B597" s="2">
        <v>587</v>
      </c>
      <c r="C597" s="13">
        <f t="shared" si="132"/>
        <v>0</v>
      </c>
      <c r="D597" s="119">
        <f t="shared" si="133"/>
        <v>0</v>
      </c>
      <c r="E597" s="13">
        <f t="shared" si="134"/>
        <v>0</v>
      </c>
      <c r="F597" s="13">
        <f t="shared" si="135"/>
        <v>0</v>
      </c>
      <c r="G597" s="13">
        <f t="shared" si="136"/>
        <v>0</v>
      </c>
      <c r="I597" s="120">
        <f t="shared" si="128"/>
        <v>0</v>
      </c>
      <c r="J597" s="120">
        <f t="shared" si="129"/>
        <v>0</v>
      </c>
      <c r="L597" s="13">
        <f t="shared" si="130"/>
        <v>0</v>
      </c>
      <c r="M597" s="13">
        <f t="shared" si="131"/>
        <v>0</v>
      </c>
    </row>
    <row r="598" spans="2:19" x14ac:dyDescent="0.2">
      <c r="B598" s="2">
        <v>588</v>
      </c>
      <c r="C598" s="13">
        <f t="shared" si="132"/>
        <v>0</v>
      </c>
      <c r="D598" s="119">
        <f t="shared" si="133"/>
        <v>0</v>
      </c>
      <c r="E598" s="13">
        <f t="shared" si="134"/>
        <v>0</v>
      </c>
      <c r="F598" s="13">
        <f t="shared" si="135"/>
        <v>0</v>
      </c>
      <c r="G598" s="13">
        <f t="shared" si="136"/>
        <v>0</v>
      </c>
      <c r="I598" s="120">
        <f t="shared" si="128"/>
        <v>0</v>
      </c>
      <c r="J598" s="120">
        <f t="shared" si="129"/>
        <v>0</v>
      </c>
      <c r="L598" s="13">
        <f t="shared" si="130"/>
        <v>0</v>
      </c>
      <c r="M598" s="13">
        <f t="shared" si="131"/>
        <v>0</v>
      </c>
      <c r="R598" s="129">
        <f t="shared" ref="R598:S598" si="137">SUM(L587:L598)</f>
        <v>0</v>
      </c>
      <c r="S598" s="129">
        <f t="shared" si="137"/>
        <v>0</v>
      </c>
    </row>
    <row r="599" spans="2:19" x14ac:dyDescent="0.2">
      <c r="B599" s="2">
        <v>589</v>
      </c>
      <c r="C599" s="13">
        <f t="shared" si="132"/>
        <v>0</v>
      </c>
      <c r="D599" s="119">
        <f t="shared" si="133"/>
        <v>0</v>
      </c>
      <c r="E599" s="13">
        <f t="shared" si="134"/>
        <v>0</v>
      </c>
      <c r="F599" s="13">
        <f t="shared" si="135"/>
        <v>0</v>
      </c>
      <c r="G599" s="13">
        <f t="shared" si="136"/>
        <v>0</v>
      </c>
      <c r="I599" s="120">
        <f t="shared" si="128"/>
        <v>0</v>
      </c>
      <c r="J599" s="120">
        <f t="shared" si="129"/>
        <v>0</v>
      </c>
      <c r="L599" s="13">
        <f t="shared" si="130"/>
        <v>0</v>
      </c>
      <c r="M599" s="13">
        <f t="shared" si="131"/>
        <v>0</v>
      </c>
    </row>
    <row r="600" spans="2:19" x14ac:dyDescent="0.2">
      <c r="B600" s="2">
        <v>590</v>
      </c>
      <c r="C600" s="13">
        <f t="shared" si="132"/>
        <v>0</v>
      </c>
      <c r="D600" s="119">
        <f t="shared" si="133"/>
        <v>0</v>
      </c>
      <c r="E600" s="13">
        <f t="shared" si="134"/>
        <v>0</v>
      </c>
      <c r="F600" s="13">
        <f t="shared" si="135"/>
        <v>0</v>
      </c>
      <c r="G600" s="13">
        <f t="shared" si="136"/>
        <v>0</v>
      </c>
      <c r="I600" s="120">
        <f t="shared" si="128"/>
        <v>0</v>
      </c>
      <c r="J600" s="120">
        <f t="shared" si="129"/>
        <v>0</v>
      </c>
      <c r="L600" s="13">
        <f t="shared" si="130"/>
        <v>0</v>
      </c>
      <c r="M600" s="13">
        <f t="shared" si="131"/>
        <v>0</v>
      </c>
    </row>
    <row r="601" spans="2:19" x14ac:dyDescent="0.2">
      <c r="B601" s="2">
        <v>591</v>
      </c>
      <c r="C601" s="13">
        <f t="shared" si="132"/>
        <v>0</v>
      </c>
      <c r="D601" s="119">
        <f t="shared" si="133"/>
        <v>0</v>
      </c>
      <c r="E601" s="13">
        <f t="shared" si="134"/>
        <v>0</v>
      </c>
      <c r="F601" s="13">
        <f t="shared" si="135"/>
        <v>0</v>
      </c>
      <c r="G601" s="13">
        <f t="shared" si="136"/>
        <v>0</v>
      </c>
      <c r="I601" s="120">
        <f t="shared" si="128"/>
        <v>0</v>
      </c>
      <c r="J601" s="120">
        <f t="shared" si="129"/>
        <v>0</v>
      </c>
      <c r="L601" s="13">
        <f t="shared" si="130"/>
        <v>0</v>
      </c>
      <c r="M601" s="13">
        <f t="shared" si="131"/>
        <v>0</v>
      </c>
    </row>
    <row r="602" spans="2:19" x14ac:dyDescent="0.2">
      <c r="B602" s="2">
        <v>592</v>
      </c>
      <c r="C602" s="13">
        <f t="shared" si="132"/>
        <v>0</v>
      </c>
      <c r="D602" s="119">
        <f t="shared" si="133"/>
        <v>0</v>
      </c>
      <c r="E602" s="13">
        <f t="shared" si="134"/>
        <v>0</v>
      </c>
      <c r="F602" s="13">
        <f t="shared" si="135"/>
        <v>0</v>
      </c>
      <c r="G602" s="13">
        <f t="shared" si="136"/>
        <v>0</v>
      </c>
      <c r="I602" s="120">
        <f t="shared" si="128"/>
        <v>0</v>
      </c>
      <c r="J602" s="120">
        <f t="shared" si="129"/>
        <v>0</v>
      </c>
      <c r="L602" s="13">
        <f t="shared" si="130"/>
        <v>0</v>
      </c>
      <c r="M602" s="13">
        <f t="shared" si="131"/>
        <v>0</v>
      </c>
    </row>
    <row r="603" spans="2:19" x14ac:dyDescent="0.2">
      <c r="B603" s="2">
        <v>593</v>
      </c>
      <c r="C603" s="13">
        <f t="shared" si="132"/>
        <v>0</v>
      </c>
      <c r="D603" s="119">
        <f t="shared" si="133"/>
        <v>0</v>
      </c>
      <c r="E603" s="13">
        <f t="shared" si="134"/>
        <v>0</v>
      </c>
      <c r="F603" s="13">
        <f t="shared" si="135"/>
        <v>0</v>
      </c>
      <c r="G603" s="13">
        <f t="shared" si="136"/>
        <v>0</v>
      </c>
      <c r="I603" s="120">
        <f t="shared" si="128"/>
        <v>0</v>
      </c>
      <c r="J603" s="120">
        <f t="shared" si="129"/>
        <v>0</v>
      </c>
      <c r="L603" s="13">
        <f t="shared" si="130"/>
        <v>0</v>
      </c>
      <c r="M603" s="13">
        <f t="shared" si="131"/>
        <v>0</v>
      </c>
    </row>
    <row r="604" spans="2:19" x14ac:dyDescent="0.2">
      <c r="B604" s="2">
        <v>594</v>
      </c>
      <c r="C604" s="13">
        <f t="shared" si="132"/>
        <v>0</v>
      </c>
      <c r="D604" s="119">
        <f t="shared" si="133"/>
        <v>0</v>
      </c>
      <c r="E604" s="13">
        <f t="shared" si="134"/>
        <v>0</v>
      </c>
      <c r="F604" s="13">
        <f t="shared" si="135"/>
        <v>0</v>
      </c>
      <c r="G604" s="13">
        <f t="shared" si="136"/>
        <v>0</v>
      </c>
      <c r="I604" s="120">
        <f t="shared" si="128"/>
        <v>0</v>
      </c>
      <c r="J604" s="120">
        <f t="shared" si="129"/>
        <v>0</v>
      </c>
      <c r="L604" s="13">
        <f t="shared" si="130"/>
        <v>0</v>
      </c>
      <c r="M604" s="13">
        <f t="shared" si="131"/>
        <v>0</v>
      </c>
    </row>
    <row r="605" spans="2:19" x14ac:dyDescent="0.2">
      <c r="B605" s="2">
        <v>595</v>
      </c>
      <c r="C605" s="13">
        <f t="shared" si="132"/>
        <v>0</v>
      </c>
      <c r="D605" s="119">
        <f t="shared" si="133"/>
        <v>0</v>
      </c>
      <c r="E605" s="13">
        <f t="shared" si="134"/>
        <v>0</v>
      </c>
      <c r="F605" s="13">
        <f t="shared" si="135"/>
        <v>0</v>
      </c>
      <c r="G605" s="13">
        <f t="shared" si="136"/>
        <v>0</v>
      </c>
      <c r="I605" s="120">
        <f t="shared" si="128"/>
        <v>0</v>
      </c>
      <c r="J605" s="120">
        <f t="shared" si="129"/>
        <v>0</v>
      </c>
      <c r="L605" s="13">
        <f t="shared" si="130"/>
        <v>0</v>
      </c>
      <c r="M605" s="13">
        <f t="shared" si="131"/>
        <v>0</v>
      </c>
    </row>
    <row r="606" spans="2:19" x14ac:dyDescent="0.2">
      <c r="B606" s="2">
        <v>596</v>
      </c>
      <c r="C606" s="13">
        <f t="shared" si="132"/>
        <v>0</v>
      </c>
      <c r="D606" s="119">
        <f t="shared" si="133"/>
        <v>0</v>
      </c>
      <c r="E606" s="13">
        <f t="shared" si="134"/>
        <v>0</v>
      </c>
      <c r="F606" s="13">
        <f t="shared" si="135"/>
        <v>0</v>
      </c>
      <c r="G606" s="13">
        <f t="shared" si="136"/>
        <v>0</v>
      </c>
      <c r="I606" s="120">
        <f t="shared" si="128"/>
        <v>0</v>
      </c>
      <c r="J606" s="120">
        <f t="shared" si="129"/>
        <v>0</v>
      </c>
      <c r="L606" s="13">
        <f t="shared" si="130"/>
        <v>0</v>
      </c>
      <c r="M606" s="13">
        <f t="shared" si="131"/>
        <v>0</v>
      </c>
    </row>
    <row r="607" spans="2:19" x14ac:dyDescent="0.2">
      <c r="B607" s="2">
        <v>597</v>
      </c>
      <c r="C607" s="13">
        <f t="shared" si="132"/>
        <v>0</v>
      </c>
      <c r="D607" s="119">
        <f t="shared" si="133"/>
        <v>0</v>
      </c>
      <c r="E607" s="13">
        <f t="shared" si="134"/>
        <v>0</v>
      </c>
      <c r="F607" s="13">
        <f t="shared" si="135"/>
        <v>0</v>
      </c>
      <c r="G607" s="13">
        <f t="shared" si="136"/>
        <v>0</v>
      </c>
      <c r="I607" s="120">
        <f t="shared" si="128"/>
        <v>0</v>
      </c>
      <c r="J607" s="120">
        <f t="shared" si="129"/>
        <v>0</v>
      </c>
      <c r="L607" s="13">
        <f t="shared" si="130"/>
        <v>0</v>
      </c>
      <c r="M607" s="13">
        <f t="shared" si="131"/>
        <v>0</v>
      </c>
    </row>
    <row r="608" spans="2:19" x14ac:dyDescent="0.2">
      <c r="B608" s="2">
        <v>598</v>
      </c>
      <c r="C608" s="13">
        <f t="shared" si="132"/>
        <v>0</v>
      </c>
      <c r="D608" s="119">
        <f t="shared" si="133"/>
        <v>0</v>
      </c>
      <c r="E608" s="13">
        <f t="shared" si="134"/>
        <v>0</v>
      </c>
      <c r="F608" s="13">
        <f t="shared" si="135"/>
        <v>0</v>
      </c>
      <c r="G608" s="13">
        <f t="shared" si="136"/>
        <v>0</v>
      </c>
      <c r="I608" s="120">
        <f t="shared" si="128"/>
        <v>0</v>
      </c>
      <c r="J608" s="120">
        <f t="shared" si="129"/>
        <v>0</v>
      </c>
      <c r="L608" s="13">
        <f t="shared" si="130"/>
        <v>0</v>
      </c>
      <c r="M608" s="13">
        <f t="shared" si="131"/>
        <v>0</v>
      </c>
    </row>
    <row r="609" spans="2:19" x14ac:dyDescent="0.2">
      <c r="B609" s="2">
        <v>599</v>
      </c>
      <c r="C609" s="13">
        <f t="shared" si="132"/>
        <v>0</v>
      </c>
      <c r="D609" s="119">
        <f t="shared" si="133"/>
        <v>0</v>
      </c>
      <c r="E609" s="13">
        <f t="shared" si="134"/>
        <v>0</v>
      </c>
      <c r="F609" s="13">
        <f t="shared" si="135"/>
        <v>0</v>
      </c>
      <c r="G609" s="13">
        <f t="shared" si="136"/>
        <v>0</v>
      </c>
      <c r="I609" s="120">
        <f t="shared" si="128"/>
        <v>0</v>
      </c>
      <c r="J609" s="120">
        <f t="shared" si="129"/>
        <v>0</v>
      </c>
      <c r="L609" s="13">
        <f t="shared" si="130"/>
        <v>0</v>
      </c>
      <c r="M609" s="13">
        <f t="shared" si="131"/>
        <v>0</v>
      </c>
    </row>
    <row r="610" spans="2:19" x14ac:dyDescent="0.2">
      <c r="B610" s="2">
        <v>600</v>
      </c>
      <c r="C610" s="13">
        <f t="shared" si="132"/>
        <v>0</v>
      </c>
      <c r="D610" s="119">
        <f t="shared" si="133"/>
        <v>0</v>
      </c>
      <c r="E610" s="13">
        <f t="shared" si="134"/>
        <v>0</v>
      </c>
      <c r="F610" s="13">
        <f t="shared" si="135"/>
        <v>0</v>
      </c>
      <c r="G610" s="13">
        <f t="shared" si="136"/>
        <v>0</v>
      </c>
      <c r="I610" s="120">
        <f t="shared" si="128"/>
        <v>0</v>
      </c>
      <c r="J610" s="120">
        <f t="shared" si="129"/>
        <v>0</v>
      </c>
      <c r="L610" s="13">
        <f t="shared" si="130"/>
        <v>0</v>
      </c>
      <c r="M610" s="13">
        <f t="shared" si="131"/>
        <v>0</v>
      </c>
      <c r="R610" s="129">
        <f t="shared" ref="R610:S610" si="138">SUM(L599:L610)</f>
        <v>0</v>
      </c>
      <c r="S610" s="129">
        <f t="shared" si="138"/>
        <v>0</v>
      </c>
    </row>
    <row r="611" spans="2:19" x14ac:dyDescent="0.2">
      <c r="B611" s="2">
        <v>601</v>
      </c>
      <c r="C611" s="13">
        <f t="shared" si="132"/>
        <v>0</v>
      </c>
      <c r="D611" s="119">
        <f t="shared" si="133"/>
        <v>0</v>
      </c>
      <c r="E611" s="13">
        <f t="shared" si="134"/>
        <v>0</v>
      </c>
      <c r="F611" s="13">
        <f t="shared" si="135"/>
        <v>0</v>
      </c>
      <c r="G611" s="13">
        <f t="shared" si="136"/>
        <v>0</v>
      </c>
      <c r="I611" s="120">
        <f t="shared" si="128"/>
        <v>0</v>
      </c>
      <c r="J611" s="120">
        <f t="shared" si="129"/>
        <v>0</v>
      </c>
      <c r="L611" s="13">
        <f t="shared" si="130"/>
        <v>0</v>
      </c>
      <c r="M611" s="13">
        <f t="shared" si="131"/>
        <v>0</v>
      </c>
    </row>
    <row r="612" spans="2:19" x14ac:dyDescent="0.2">
      <c r="B612" s="2">
        <v>602</v>
      </c>
      <c r="C612" s="13">
        <f t="shared" si="132"/>
        <v>0</v>
      </c>
      <c r="D612" s="119">
        <f t="shared" si="133"/>
        <v>0</v>
      </c>
      <c r="E612" s="13">
        <f t="shared" si="134"/>
        <v>0</v>
      </c>
      <c r="F612" s="13">
        <f t="shared" si="135"/>
        <v>0</v>
      </c>
      <c r="G612" s="13">
        <f t="shared" si="136"/>
        <v>0</v>
      </c>
      <c r="I612" s="120">
        <f t="shared" si="128"/>
        <v>0</v>
      </c>
      <c r="J612" s="120">
        <f t="shared" si="129"/>
        <v>0</v>
      </c>
      <c r="L612" s="13">
        <f t="shared" si="130"/>
        <v>0</v>
      </c>
      <c r="M612" s="13">
        <f t="shared" si="131"/>
        <v>0</v>
      </c>
    </row>
  </sheetData>
  <conditionalFormatting sqref="B5">
    <cfRule type="expression" dxfId="2" priority="3">
      <formula>$D$12="Нет"</formula>
    </cfRule>
  </conditionalFormatting>
  <conditionalFormatting sqref="B11:B612">
    <cfRule type="cellIs" dxfId="1" priority="1" operator="greaterThan">
      <formula>$D$6*12</formula>
    </cfRule>
  </conditionalFormatting>
  <conditionalFormatting sqref="B11:M612">
    <cfRule type="cellIs" dxfId="0" priority="2" operator="equal">
      <formula>0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6DD25-CBA4-4718-916D-8DAF971EF304}">
  <sheetPr codeName="Лист8">
    <tabColor theme="0" tint="-0.14999847407452621"/>
  </sheetPr>
  <dimension ref="B1:I5"/>
  <sheetViews>
    <sheetView showGridLines="0" workbookViewId="0">
      <selection activeCell="E3" sqref="E3"/>
    </sheetView>
  </sheetViews>
  <sheetFormatPr defaultRowHeight="15" x14ac:dyDescent="0.25"/>
  <cols>
    <col min="2" max="2" width="26.42578125" customWidth="1"/>
    <col min="3" max="22" width="15.140625" customWidth="1"/>
  </cols>
  <sheetData>
    <row r="1" spans="2:9" ht="15.75" thickBot="1" x14ac:dyDescent="0.3"/>
    <row r="2" spans="2:9" x14ac:dyDescent="0.25">
      <c r="B2" s="4" t="s">
        <v>174</v>
      </c>
      <c r="C2" s="121"/>
      <c r="D2" s="121"/>
      <c r="E2" s="122"/>
      <c r="G2" s="335" t="s">
        <v>3</v>
      </c>
      <c r="H2" s="335"/>
      <c r="I2" s="335"/>
    </row>
    <row r="3" spans="2:9" x14ac:dyDescent="0.25">
      <c r="B3" s="123" t="s">
        <v>55</v>
      </c>
      <c r="E3" s="124">
        <v>2000000</v>
      </c>
      <c r="G3" s="14"/>
      <c r="H3" s="2" t="s">
        <v>10</v>
      </c>
      <c r="I3" s="2"/>
    </row>
    <row r="4" spans="2:9" ht="15.75" thickBot="1" x14ac:dyDescent="0.3">
      <c r="B4" s="125" t="s">
        <v>56</v>
      </c>
      <c r="C4" s="126"/>
      <c r="D4" s="126"/>
      <c r="E4" s="127">
        <v>3000000</v>
      </c>
      <c r="G4" s="20"/>
      <c r="H4" s="2" t="s">
        <v>14</v>
      </c>
      <c r="I4" s="2"/>
    </row>
    <row r="5" spans="2:9" x14ac:dyDescent="0.25">
      <c r="G5" s="21"/>
      <c r="H5" s="2" t="s">
        <v>16</v>
      </c>
      <c r="I5" s="2"/>
    </row>
  </sheetData>
  <mergeCells count="1"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D489F-A07E-4ED0-B069-C83007B6C85F}">
  <sheetPr codeName="Лист9"/>
  <dimension ref="A1:BB78"/>
  <sheetViews>
    <sheetView showGridLines="0" zoomScale="85" zoomScaleNormal="85" workbookViewId="0">
      <selection activeCell="O13" sqref="O13"/>
    </sheetView>
  </sheetViews>
  <sheetFormatPr defaultRowHeight="15" x14ac:dyDescent="0.25"/>
  <cols>
    <col min="2" max="2" width="11.85546875" bestFit="1" customWidth="1"/>
    <col min="4" max="54" width="14.28515625" customWidth="1"/>
  </cols>
  <sheetData>
    <row r="1" spans="1:54" x14ac:dyDescent="0.25">
      <c r="D1">
        <v>0</v>
      </c>
      <c r="E1">
        <v>1</v>
      </c>
      <c r="F1">
        <v>2</v>
      </c>
      <c r="G1">
        <v>3</v>
      </c>
      <c r="H1">
        <v>4</v>
      </c>
      <c r="I1">
        <v>5</v>
      </c>
      <c r="J1">
        <v>6</v>
      </c>
      <c r="K1">
        <v>7</v>
      </c>
      <c r="L1">
        <v>8</v>
      </c>
      <c r="M1">
        <v>9</v>
      </c>
      <c r="N1">
        <v>10</v>
      </c>
      <c r="O1">
        <v>11</v>
      </c>
      <c r="P1">
        <v>12</v>
      </c>
      <c r="Q1">
        <v>13</v>
      </c>
      <c r="R1">
        <v>14</v>
      </c>
      <c r="S1">
        <v>15</v>
      </c>
      <c r="T1">
        <v>16</v>
      </c>
      <c r="U1">
        <v>17</v>
      </c>
      <c r="V1">
        <v>18</v>
      </c>
      <c r="W1">
        <v>19</v>
      </c>
      <c r="X1">
        <v>20</v>
      </c>
      <c r="Y1">
        <v>21</v>
      </c>
      <c r="Z1">
        <v>22</v>
      </c>
      <c r="AA1">
        <v>23</v>
      </c>
      <c r="AB1">
        <v>24</v>
      </c>
      <c r="AC1">
        <v>25</v>
      </c>
      <c r="AD1">
        <v>26</v>
      </c>
      <c r="AE1">
        <v>27</v>
      </c>
      <c r="AF1">
        <v>28</v>
      </c>
      <c r="AG1">
        <v>29</v>
      </c>
      <c r="AH1">
        <v>30</v>
      </c>
      <c r="AI1">
        <v>31</v>
      </c>
      <c r="AJ1">
        <v>32</v>
      </c>
      <c r="AK1">
        <v>33</v>
      </c>
      <c r="AL1">
        <v>34</v>
      </c>
      <c r="AM1">
        <v>35</v>
      </c>
      <c r="AN1">
        <v>36</v>
      </c>
      <c r="AO1">
        <v>37</v>
      </c>
      <c r="AP1">
        <v>38</v>
      </c>
      <c r="AQ1">
        <v>39</v>
      </c>
      <c r="AR1">
        <v>40</v>
      </c>
      <c r="AS1">
        <v>41</v>
      </c>
      <c r="AT1">
        <v>42</v>
      </c>
      <c r="AU1">
        <v>43</v>
      </c>
      <c r="AV1">
        <v>44</v>
      </c>
      <c r="AW1">
        <v>45</v>
      </c>
      <c r="AX1">
        <v>46</v>
      </c>
      <c r="AY1">
        <v>47</v>
      </c>
      <c r="AZ1">
        <v>48</v>
      </c>
      <c r="BA1">
        <v>49</v>
      </c>
      <c r="BB1">
        <v>50</v>
      </c>
    </row>
    <row r="3" spans="1:54" s="96" customFormat="1" ht="12.75" x14ac:dyDescent="0.2">
      <c r="A3" s="96" t="s">
        <v>8</v>
      </c>
      <c r="D3" s="113">
        <f>Покупка!D49</f>
        <v>2700000</v>
      </c>
      <c r="E3" s="113">
        <f>Покупка!E49</f>
        <v>3750704.2435434991</v>
      </c>
      <c r="F3" s="113">
        <f>Покупка!F49</f>
        <v>4902515.8331289813</v>
      </c>
      <c r="G3" s="113">
        <f>Покупка!G49</f>
        <v>6165364.3683473179</v>
      </c>
      <c r="H3" s="113">
        <f>Покупка!H49</f>
        <v>7550178.3697211137</v>
      </c>
      <c r="I3" s="113">
        <f>Покупка!I49</f>
        <v>9068988.5308067799</v>
      </c>
      <c r="J3" s="113">
        <f>Покупка!J49</f>
        <v>10735041.956000784</v>
      </c>
      <c r="K3" s="113">
        <f>Покупка!K49</f>
        <v>12562928.587480154</v>
      </c>
      <c r="L3" s="113">
        <f>Покупка!L49</f>
        <v>14568721.1602474</v>
      </c>
      <c r="M3" s="113">
        <f>Покупка!M49</f>
        <v>16770130.175442571</v>
      </c>
      <c r="N3" s="113">
        <f>Покупка!N49</f>
        <v>19186675.550776225</v>
      </c>
      <c r="O3" s="113">
        <f>Покупка!O49</f>
        <v>21839876.795196235</v>
      </c>
      <c r="P3" s="113">
        <f>Покупка!P49</f>
        <v>24753463.76504438</v>
      </c>
      <c r="Q3" s="113">
        <f>Покупка!Q49</f>
        <v>27953610.293583274</v>
      </c>
      <c r="R3" s="113">
        <f>Покупка!R49</f>
        <v>31469193.247788765</v>
      </c>
      <c r="S3" s="113">
        <f>Покупка!S49</f>
        <v>35347843.847957276</v>
      </c>
      <c r="T3" s="113">
        <f>Покупка!T49</f>
        <v>0</v>
      </c>
      <c r="U3" s="113">
        <f>Покупка!U49</f>
        <v>0</v>
      </c>
      <c r="V3" s="113">
        <f>Покупка!V49</f>
        <v>0</v>
      </c>
      <c r="W3" s="113">
        <f>Покупка!W49</f>
        <v>0</v>
      </c>
      <c r="X3" s="113">
        <f>Покупка!X49</f>
        <v>0</v>
      </c>
      <c r="Y3" s="113">
        <f>Покупка!Y49</f>
        <v>0</v>
      </c>
      <c r="Z3" s="113">
        <f>Покупка!Z49</f>
        <v>0</v>
      </c>
      <c r="AA3" s="113">
        <f>Покупка!AA49</f>
        <v>0</v>
      </c>
      <c r="AB3" s="113">
        <f>Покупка!AB49</f>
        <v>0</v>
      </c>
      <c r="AC3" s="113">
        <f>Покупка!AC49</f>
        <v>0</v>
      </c>
      <c r="AD3" s="113">
        <f>Покупка!AD49</f>
        <v>0</v>
      </c>
      <c r="AE3" s="113">
        <f>Покупка!AE49</f>
        <v>0</v>
      </c>
      <c r="AF3" s="113">
        <f>Покупка!AF49</f>
        <v>0</v>
      </c>
      <c r="AG3" s="113">
        <f>Покупка!AG49</f>
        <v>0</v>
      </c>
      <c r="AH3" s="113">
        <f>Покупка!AH49</f>
        <v>0</v>
      </c>
      <c r="AI3" s="113">
        <f>Покупка!AI49</f>
        <v>0</v>
      </c>
      <c r="AJ3" s="113">
        <f>Покупка!AJ49</f>
        <v>0</v>
      </c>
      <c r="AK3" s="113">
        <f>Покупка!AK49</f>
        <v>0</v>
      </c>
      <c r="AL3" s="113">
        <f>Покупка!AL49</f>
        <v>0</v>
      </c>
      <c r="AM3" s="113">
        <f>Покупка!AM49</f>
        <v>0</v>
      </c>
      <c r="AN3" s="113">
        <f>Покупка!AN49</f>
        <v>0</v>
      </c>
      <c r="AO3" s="113">
        <f>Покупка!AO49</f>
        <v>0</v>
      </c>
      <c r="AP3" s="113">
        <f>Покупка!AP49</f>
        <v>0</v>
      </c>
      <c r="AQ3" s="113">
        <f>Покупка!AQ49</f>
        <v>0</v>
      </c>
      <c r="AR3" s="113">
        <f>Покупка!AR49</f>
        <v>0</v>
      </c>
      <c r="AS3" s="113">
        <f>Покупка!AS49</f>
        <v>0</v>
      </c>
      <c r="AT3" s="113">
        <f>Покупка!AT49</f>
        <v>0</v>
      </c>
      <c r="AU3" s="113">
        <f>Покупка!AU49</f>
        <v>0</v>
      </c>
      <c r="AV3" s="113">
        <f>Покупка!AV49</f>
        <v>0</v>
      </c>
      <c r="AW3" s="113">
        <f>Покупка!AW49</f>
        <v>0</v>
      </c>
      <c r="AX3" s="113">
        <f>Покупка!AX49</f>
        <v>0</v>
      </c>
      <c r="AY3" s="113">
        <f>Покупка!AY49</f>
        <v>0</v>
      </c>
      <c r="AZ3" s="113">
        <f>Покупка!AZ49</f>
        <v>0</v>
      </c>
      <c r="BA3" s="113">
        <f>Покупка!BA49</f>
        <v>0</v>
      </c>
      <c r="BB3" s="113">
        <f>Покупка!BB49</f>
        <v>0</v>
      </c>
    </row>
    <row r="4" spans="1:54" s="96" customFormat="1" ht="12.75" x14ac:dyDescent="0.2">
      <c r="A4" s="96" t="s">
        <v>30</v>
      </c>
      <c r="D4" s="113">
        <f>Аренда!D15</f>
        <v>3500000</v>
      </c>
      <c r="E4" s="113">
        <f>Аренда!E15</f>
        <v>4341284.3714371333</v>
      </c>
      <c r="F4" s="113">
        <f>Аренда!F15</f>
        <v>5539908.8317181086</v>
      </c>
      <c r="G4" s="113">
        <f>Аренда!G15</f>
        <v>6885577.4326720964</v>
      </c>
      <c r="H4" s="113">
        <f>Аренда!H15</f>
        <v>8420039.7052224502</v>
      </c>
      <c r="I4" s="113">
        <f>Аренда!I15</f>
        <v>10216578.029332576</v>
      </c>
      <c r="J4" s="113">
        <f>Аренда!J15</f>
        <v>12234688.635961313</v>
      </c>
      <c r="K4" s="113">
        <f>Аренда!K15</f>
        <v>14502996.186370892</v>
      </c>
      <c r="L4" s="113">
        <f>Аренда!L15</f>
        <v>17053960.618933309</v>
      </c>
      <c r="M4" s="113">
        <f>Аренда!M15</f>
        <v>19924404.887421638</v>
      </c>
      <c r="N4" s="113">
        <f>Аренда!N15</f>
        <v>23156116.667433523</v>
      </c>
      <c r="O4" s="113">
        <f>Аренда!O15</f>
        <v>26796534.526473232</v>
      </c>
      <c r="P4" s="113">
        <f>Аренда!P15</f>
        <v>30899530.554383144</v>
      </c>
      <c r="Q4" s="113">
        <f>Аренда!Q15</f>
        <v>35526303.167787291</v>
      </c>
      <c r="R4" s="113">
        <f>Аренда!R15</f>
        <v>40746395.766112596</v>
      </c>
      <c r="S4" s="113">
        <f>Аренда!S15</f>
        <v>46654623.152198926</v>
      </c>
      <c r="T4" s="113">
        <f>Аренда!T15</f>
        <v>0</v>
      </c>
      <c r="U4" s="113">
        <f>Аренда!U15</f>
        <v>0</v>
      </c>
      <c r="V4" s="113">
        <f>Аренда!V15</f>
        <v>0</v>
      </c>
      <c r="W4" s="113">
        <f>Аренда!W15</f>
        <v>0</v>
      </c>
      <c r="X4" s="113">
        <f>Аренда!X15</f>
        <v>0</v>
      </c>
      <c r="Y4" s="113">
        <f>Аренда!Y15</f>
        <v>0</v>
      </c>
      <c r="Z4" s="113">
        <f>Аренда!Z15</f>
        <v>0</v>
      </c>
      <c r="AA4" s="113">
        <f>Аренда!AA15</f>
        <v>0</v>
      </c>
      <c r="AB4" s="113">
        <f>Аренда!AB15</f>
        <v>0</v>
      </c>
      <c r="AC4" s="113">
        <f>Аренда!AC15</f>
        <v>0</v>
      </c>
      <c r="AD4" s="113">
        <f>Аренда!AD15</f>
        <v>0</v>
      </c>
      <c r="AE4" s="113">
        <f>Аренда!AE15</f>
        <v>0</v>
      </c>
      <c r="AF4" s="113">
        <f>Аренда!AF15</f>
        <v>0</v>
      </c>
      <c r="AG4" s="113">
        <f>Аренда!AG15</f>
        <v>0</v>
      </c>
      <c r="AH4" s="113">
        <f>Аренда!AH15</f>
        <v>0</v>
      </c>
      <c r="AI4" s="113">
        <f>Аренда!AI15</f>
        <v>0</v>
      </c>
      <c r="AJ4" s="113">
        <f>Аренда!AJ15</f>
        <v>0</v>
      </c>
      <c r="AK4" s="113">
        <f>Аренда!AK15</f>
        <v>0</v>
      </c>
      <c r="AL4" s="113">
        <f>Аренда!AL15</f>
        <v>0</v>
      </c>
      <c r="AM4" s="113">
        <f>Аренда!AM15</f>
        <v>0</v>
      </c>
      <c r="AN4" s="113">
        <f>Аренда!AN15</f>
        <v>0</v>
      </c>
      <c r="AO4" s="113">
        <f>Аренда!AO15</f>
        <v>0</v>
      </c>
      <c r="AP4" s="113">
        <f>Аренда!AP15</f>
        <v>0</v>
      </c>
      <c r="AQ4" s="113">
        <f>Аренда!AQ15</f>
        <v>0</v>
      </c>
      <c r="AR4" s="113">
        <f>Аренда!AR15</f>
        <v>0</v>
      </c>
      <c r="AS4" s="113">
        <f>Аренда!AS15</f>
        <v>0</v>
      </c>
      <c r="AT4" s="113">
        <f>Аренда!AT15</f>
        <v>0</v>
      </c>
      <c r="AU4" s="113">
        <f>Аренда!AU15</f>
        <v>0</v>
      </c>
      <c r="AV4" s="113">
        <f>Аренда!AV15</f>
        <v>0</v>
      </c>
      <c r="AW4" s="113">
        <f>Аренда!AW15</f>
        <v>0</v>
      </c>
      <c r="AX4" s="113">
        <f>Аренда!AX15</f>
        <v>0</v>
      </c>
      <c r="AY4" s="113">
        <f>Аренда!AY15</f>
        <v>0</v>
      </c>
      <c r="AZ4" s="113">
        <f>Аренда!AZ15</f>
        <v>0</v>
      </c>
      <c r="BA4" s="113">
        <f>Аренда!BA15</f>
        <v>0</v>
      </c>
      <c r="BB4" s="113">
        <f>Аренда!BB15</f>
        <v>0</v>
      </c>
    </row>
    <row r="5" spans="1:54" x14ac:dyDescent="0.25">
      <c r="A5" t="s">
        <v>196</v>
      </c>
      <c r="D5" s="228">
        <f>D4-D3</f>
        <v>800000</v>
      </c>
      <c r="E5" s="228">
        <f t="shared" ref="E5:AI5" si="0">E4-E3</f>
        <v>590580.12789363414</v>
      </c>
      <c r="F5" s="228">
        <f t="shared" si="0"/>
        <v>637392.99858912732</v>
      </c>
      <c r="G5" s="228">
        <f t="shared" si="0"/>
        <v>720213.0643247785</v>
      </c>
      <c r="H5" s="228">
        <f t="shared" si="0"/>
        <v>869861.33550133649</v>
      </c>
      <c r="I5" s="228">
        <f t="shared" si="0"/>
        <v>1147589.4985257965</v>
      </c>
      <c r="J5" s="228">
        <f t="shared" si="0"/>
        <v>1499646.6799605284</v>
      </c>
      <c r="K5" s="228">
        <f t="shared" si="0"/>
        <v>1940067.5988907386</v>
      </c>
      <c r="L5" s="228">
        <f t="shared" si="0"/>
        <v>2485239.4586859085</v>
      </c>
      <c r="M5" s="228">
        <f t="shared" si="0"/>
        <v>3154274.711979067</v>
      </c>
      <c r="N5" s="228">
        <f t="shared" si="0"/>
        <v>3969441.1166572981</v>
      </c>
      <c r="O5" s="228">
        <f t="shared" si="0"/>
        <v>4956657.7312769964</v>
      </c>
      <c r="P5" s="228">
        <f t="shared" si="0"/>
        <v>6146066.7893387638</v>
      </c>
      <c r="Q5" s="228">
        <f t="shared" si="0"/>
        <v>7572692.8742040172</v>
      </c>
      <c r="R5" s="228">
        <f t="shared" si="0"/>
        <v>9277202.5183238313</v>
      </c>
      <c r="S5" s="228">
        <f t="shared" si="0"/>
        <v>11306779.30424165</v>
      </c>
      <c r="T5" s="228">
        <f t="shared" si="0"/>
        <v>0</v>
      </c>
      <c r="U5" s="228">
        <f t="shared" si="0"/>
        <v>0</v>
      </c>
      <c r="V5" s="228">
        <f t="shared" si="0"/>
        <v>0</v>
      </c>
      <c r="W5" s="228">
        <f t="shared" si="0"/>
        <v>0</v>
      </c>
      <c r="X5" s="228">
        <f t="shared" si="0"/>
        <v>0</v>
      </c>
      <c r="Y5" s="228">
        <f t="shared" si="0"/>
        <v>0</v>
      </c>
      <c r="Z5" s="228">
        <f t="shared" si="0"/>
        <v>0</v>
      </c>
      <c r="AA5" s="228">
        <f t="shared" si="0"/>
        <v>0</v>
      </c>
      <c r="AB5" s="228">
        <f t="shared" si="0"/>
        <v>0</v>
      </c>
      <c r="AC5" s="228">
        <f t="shared" si="0"/>
        <v>0</v>
      </c>
      <c r="AD5" s="228">
        <f t="shared" si="0"/>
        <v>0</v>
      </c>
      <c r="AE5" s="228">
        <f t="shared" si="0"/>
        <v>0</v>
      </c>
      <c r="AF5" s="228">
        <f t="shared" si="0"/>
        <v>0</v>
      </c>
      <c r="AG5" s="228">
        <f t="shared" si="0"/>
        <v>0</v>
      </c>
      <c r="AH5" s="228">
        <f t="shared" si="0"/>
        <v>0</v>
      </c>
      <c r="AI5" s="228">
        <f t="shared" si="0"/>
        <v>0</v>
      </c>
      <c r="AJ5" s="228">
        <f t="shared" ref="AJ5:BB5" si="1">AJ4-AJ3</f>
        <v>0</v>
      </c>
      <c r="AK5" s="228">
        <f t="shared" si="1"/>
        <v>0</v>
      </c>
      <c r="AL5" s="228">
        <f t="shared" si="1"/>
        <v>0</v>
      </c>
      <c r="AM5" s="228">
        <f t="shared" si="1"/>
        <v>0</v>
      </c>
      <c r="AN5" s="228">
        <f t="shared" si="1"/>
        <v>0</v>
      </c>
      <c r="AO5" s="228">
        <f t="shared" si="1"/>
        <v>0</v>
      </c>
      <c r="AP5" s="228">
        <f t="shared" si="1"/>
        <v>0</v>
      </c>
      <c r="AQ5" s="228">
        <f t="shared" si="1"/>
        <v>0</v>
      </c>
      <c r="AR5" s="228">
        <f t="shared" si="1"/>
        <v>0</v>
      </c>
      <c r="AS5" s="228">
        <f t="shared" si="1"/>
        <v>0</v>
      </c>
      <c r="AT5" s="228">
        <f t="shared" si="1"/>
        <v>0</v>
      </c>
      <c r="AU5" s="228">
        <f t="shared" si="1"/>
        <v>0</v>
      </c>
      <c r="AV5" s="228">
        <f t="shared" si="1"/>
        <v>0</v>
      </c>
      <c r="AW5" s="228">
        <f t="shared" si="1"/>
        <v>0</v>
      </c>
      <c r="AX5" s="228">
        <f t="shared" si="1"/>
        <v>0</v>
      </c>
      <c r="AY5" s="228">
        <f t="shared" si="1"/>
        <v>0</v>
      </c>
      <c r="AZ5" s="228">
        <f t="shared" si="1"/>
        <v>0</v>
      </c>
      <c r="BA5" s="228">
        <f t="shared" si="1"/>
        <v>0</v>
      </c>
      <c r="BB5" s="228">
        <f t="shared" si="1"/>
        <v>0</v>
      </c>
    </row>
    <row r="37" spans="1:54" x14ac:dyDescent="0.25">
      <c r="D37">
        <v>0</v>
      </c>
      <c r="E37">
        <v>1</v>
      </c>
      <c r="F37">
        <v>2</v>
      </c>
      <c r="G37">
        <v>3</v>
      </c>
      <c r="H37">
        <v>4</v>
      </c>
      <c r="I37">
        <v>5</v>
      </c>
      <c r="J37">
        <v>6</v>
      </c>
      <c r="K37">
        <v>7</v>
      </c>
      <c r="L37">
        <v>8</v>
      </c>
      <c r="M37">
        <v>9</v>
      </c>
      <c r="N37">
        <v>10</v>
      </c>
      <c r="O37">
        <v>11</v>
      </c>
      <c r="P37">
        <v>12</v>
      </c>
      <c r="Q37">
        <v>13</v>
      </c>
      <c r="R37">
        <v>14</v>
      </c>
      <c r="S37">
        <v>15</v>
      </c>
      <c r="T37">
        <v>16</v>
      </c>
      <c r="U37">
        <v>17</v>
      </c>
      <c r="V37">
        <v>18</v>
      </c>
      <c r="W37">
        <v>19</v>
      </c>
      <c r="X37">
        <v>20</v>
      </c>
      <c r="Y37">
        <v>21</v>
      </c>
      <c r="Z37">
        <v>22</v>
      </c>
      <c r="AA37">
        <v>23</v>
      </c>
      <c r="AB37">
        <v>24</v>
      </c>
      <c r="AC37">
        <v>25</v>
      </c>
      <c r="AD37">
        <v>26</v>
      </c>
      <c r="AE37">
        <v>27</v>
      </c>
      <c r="AF37">
        <v>28</v>
      </c>
      <c r="AG37">
        <v>29</v>
      </c>
      <c r="AH37">
        <v>30</v>
      </c>
      <c r="AI37">
        <v>31</v>
      </c>
      <c r="AJ37">
        <v>32</v>
      </c>
      <c r="AK37">
        <v>33</v>
      </c>
      <c r="AL37">
        <v>34</v>
      </c>
      <c r="AM37">
        <v>35</v>
      </c>
      <c r="AN37">
        <v>36</v>
      </c>
      <c r="AO37">
        <v>37</v>
      </c>
      <c r="AP37">
        <v>38</v>
      </c>
      <c r="AQ37">
        <v>39</v>
      </c>
      <c r="AR37">
        <v>40</v>
      </c>
      <c r="AS37">
        <v>41</v>
      </c>
      <c r="AT37">
        <v>42</v>
      </c>
      <c r="AU37">
        <v>43</v>
      </c>
      <c r="AV37">
        <v>44</v>
      </c>
      <c r="AW37">
        <v>45</v>
      </c>
      <c r="AX37">
        <v>46</v>
      </c>
      <c r="AY37">
        <v>47</v>
      </c>
      <c r="AZ37">
        <v>48</v>
      </c>
      <c r="BA37">
        <v>49</v>
      </c>
      <c r="BB37">
        <v>50</v>
      </c>
    </row>
    <row r="38" spans="1:54" x14ac:dyDescent="0.25">
      <c r="A38" s="230" t="s">
        <v>8</v>
      </c>
    </row>
    <row r="39" spans="1:54" x14ac:dyDescent="0.25">
      <c r="A39" t="s">
        <v>198</v>
      </c>
      <c r="E39" s="227">
        <f>-Покупка!E7</f>
        <v>1008141.1721568716</v>
      </c>
      <c r="F39" s="227">
        <f>-Покупка!F7</f>
        <v>1008141.1721568716</v>
      </c>
      <c r="G39" s="227">
        <f>-Покупка!G7</f>
        <v>1008141.1721568716</v>
      </c>
      <c r="H39" s="227">
        <f>-Покупка!H7</f>
        <v>1008141.1721568716</v>
      </c>
      <c r="I39" s="227">
        <f>-Покупка!I7</f>
        <v>1008141.1721568716</v>
      </c>
      <c r="J39" s="227">
        <f>-Покупка!J7</f>
        <v>1008141.1721568719</v>
      </c>
      <c r="K39" s="227">
        <f>-Покупка!K7</f>
        <v>1008141.1721568715</v>
      </c>
      <c r="L39" s="227">
        <f>-Покупка!L7</f>
        <v>1008141.1721568716</v>
      </c>
      <c r="M39" s="227">
        <f>-Покупка!M7</f>
        <v>1008141.1721568715</v>
      </c>
      <c r="N39" s="227">
        <f>-Покупка!N7</f>
        <v>1008141.1721568715</v>
      </c>
      <c r="O39" s="227">
        <f>-Покупка!O7</f>
        <v>1008141.1721568718</v>
      </c>
      <c r="P39" s="227">
        <f>-Покупка!P7</f>
        <v>1008141.1721568718</v>
      </c>
      <c r="Q39" s="227">
        <f>-Покупка!Q7</f>
        <v>1008141.1721568718</v>
      </c>
      <c r="R39" s="227">
        <f>-Покупка!R7</f>
        <v>1008141.1721568715</v>
      </c>
      <c r="S39" s="227">
        <f>-Покупка!S7</f>
        <v>1008141.1721568715</v>
      </c>
      <c r="T39" s="227">
        <f>-Покупка!T7</f>
        <v>0</v>
      </c>
      <c r="U39" s="227">
        <f>-Покупка!U7</f>
        <v>0</v>
      </c>
      <c r="V39" s="227">
        <f>-Покупка!V7</f>
        <v>0</v>
      </c>
      <c r="W39" s="227">
        <f>-Покупка!W7</f>
        <v>0</v>
      </c>
      <c r="X39" s="227">
        <f>-Покупка!X7</f>
        <v>0</v>
      </c>
      <c r="Y39" s="227">
        <f>-Покупка!Y7</f>
        <v>0</v>
      </c>
      <c r="Z39" s="227">
        <f>-Покупка!Z7</f>
        <v>0</v>
      </c>
      <c r="AA39" s="227">
        <f>-Покупка!AA7</f>
        <v>0</v>
      </c>
      <c r="AB39" s="227">
        <f>-Покупка!AB7</f>
        <v>0</v>
      </c>
      <c r="AC39" s="227">
        <f>-Покупка!AC7</f>
        <v>0</v>
      </c>
      <c r="AD39" s="227">
        <f>-Покупка!AD7</f>
        <v>0</v>
      </c>
      <c r="AE39" s="227">
        <f>-Покупка!AE7</f>
        <v>0</v>
      </c>
      <c r="AF39" s="227">
        <f>-Покупка!AF7</f>
        <v>0</v>
      </c>
      <c r="AG39" s="227">
        <f>-Покупка!AG7</f>
        <v>0</v>
      </c>
      <c r="AH39" s="227">
        <f>-Покупка!AH7</f>
        <v>0</v>
      </c>
      <c r="AI39" s="227">
        <f>-Покупка!AI7</f>
        <v>0</v>
      </c>
      <c r="AJ39" s="227">
        <f>-Покупка!AJ7</f>
        <v>0</v>
      </c>
      <c r="AK39" s="227">
        <f>-Покупка!AK7</f>
        <v>0</v>
      </c>
      <c r="AL39" s="227">
        <f>-Покупка!AL7</f>
        <v>0</v>
      </c>
      <c r="AM39" s="227">
        <f>-Покупка!AM7</f>
        <v>0</v>
      </c>
      <c r="AN39" s="227">
        <f>-Покупка!AN7</f>
        <v>0</v>
      </c>
      <c r="AO39" s="227">
        <f>-Покупка!AO7</f>
        <v>0</v>
      </c>
      <c r="AP39" s="227">
        <f>-Покупка!AP7</f>
        <v>0</v>
      </c>
      <c r="AQ39" s="227">
        <f>-Покупка!AQ7</f>
        <v>0</v>
      </c>
      <c r="AR39" s="227">
        <f>-Покупка!AR7</f>
        <v>0</v>
      </c>
      <c r="AS39" s="227">
        <f>-Покупка!AS7</f>
        <v>0</v>
      </c>
      <c r="AT39" s="227">
        <f>-Покупка!AT7</f>
        <v>0</v>
      </c>
      <c r="AU39" s="227">
        <f>-Покупка!AU7</f>
        <v>0</v>
      </c>
      <c r="AV39" s="227">
        <f>-Покупка!AV7</f>
        <v>0</v>
      </c>
      <c r="AW39" s="227">
        <f>-Покупка!AW7</f>
        <v>0</v>
      </c>
      <c r="AX39" s="227">
        <f>-Покупка!AX7</f>
        <v>0</v>
      </c>
      <c r="AY39" s="227">
        <f>-Покупка!AY7</f>
        <v>0</v>
      </c>
      <c r="AZ39" s="227">
        <f>-Покупка!AZ7</f>
        <v>0</v>
      </c>
      <c r="BA39" s="227">
        <f>-Покупка!BA7</f>
        <v>0</v>
      </c>
      <c r="BB39" s="227">
        <f>-Покупка!BB7</f>
        <v>0</v>
      </c>
    </row>
    <row r="40" spans="1:54" x14ac:dyDescent="0.25">
      <c r="A40" t="s">
        <v>199</v>
      </c>
      <c r="E40" s="227">
        <f>-Покупка!E11</f>
        <v>21800</v>
      </c>
      <c r="F40" s="227">
        <f>-Покупка!F11</f>
        <v>23762</v>
      </c>
      <c r="G40" s="227">
        <f>-Покупка!G11</f>
        <v>25900.580000000005</v>
      </c>
      <c r="H40" s="227">
        <f>-Покупка!H11</f>
        <v>28231.632200000007</v>
      </c>
      <c r="I40" s="227">
        <f>-Покупка!I11</f>
        <v>30772.479098000011</v>
      </c>
      <c r="J40" s="227">
        <f>-Покупка!J11</f>
        <v>33542.002216820016</v>
      </c>
      <c r="K40" s="227">
        <f>-Покупка!K11</f>
        <v>36560.782416333815</v>
      </c>
      <c r="L40" s="227">
        <f>-Покупка!L11</f>
        <v>39851.252833803861</v>
      </c>
      <c r="M40" s="227">
        <f>-Покупка!M11</f>
        <v>43437.865588846216</v>
      </c>
      <c r="N40" s="227">
        <f>-Покупка!N11</f>
        <v>47347.273491842374</v>
      </c>
      <c r="O40" s="227">
        <f>-Покупка!O11</f>
        <v>51608.528106108191</v>
      </c>
      <c r="P40" s="227">
        <f>-Покупка!P11</f>
        <v>56253.295635657931</v>
      </c>
      <c r="Q40" s="227">
        <f>-Покупка!Q11</f>
        <v>61316.092242867147</v>
      </c>
      <c r="R40" s="227">
        <f>-Покупка!R11</f>
        <v>66834.540544725198</v>
      </c>
      <c r="S40" s="227">
        <f>-Покупка!S11</f>
        <v>72849.649193750476</v>
      </c>
      <c r="T40" s="227">
        <f>-Покупка!T11</f>
        <v>0</v>
      </c>
      <c r="U40" s="227">
        <f>-Покупка!U11</f>
        <v>0</v>
      </c>
      <c r="V40" s="227">
        <f>-Покупка!V11</f>
        <v>0</v>
      </c>
      <c r="W40" s="227">
        <f>-Покупка!W11</f>
        <v>0</v>
      </c>
      <c r="X40" s="227">
        <f>-Покупка!X11</f>
        <v>0</v>
      </c>
      <c r="Y40" s="227">
        <f>-Покупка!Y11</f>
        <v>0</v>
      </c>
      <c r="Z40" s="227">
        <f>-Покупка!Z11</f>
        <v>0</v>
      </c>
      <c r="AA40" s="227">
        <f>-Покупка!AA11</f>
        <v>0</v>
      </c>
      <c r="AB40" s="227">
        <f>-Покупка!AB11</f>
        <v>0</v>
      </c>
      <c r="AC40" s="227">
        <f>-Покупка!AC11</f>
        <v>0</v>
      </c>
      <c r="AD40" s="227">
        <f>-Покупка!AD11</f>
        <v>0</v>
      </c>
      <c r="AE40" s="227">
        <f>-Покупка!AE11</f>
        <v>0</v>
      </c>
      <c r="AF40" s="227">
        <f>-Покупка!AF11</f>
        <v>0</v>
      </c>
      <c r="AG40" s="227">
        <f>-Покупка!AG11</f>
        <v>0</v>
      </c>
      <c r="AH40" s="227">
        <f>-Покупка!AH11</f>
        <v>0</v>
      </c>
      <c r="AI40" s="227">
        <f>-Покупка!AI11</f>
        <v>0</v>
      </c>
      <c r="AJ40" s="227">
        <f>-Покупка!AJ11</f>
        <v>0</v>
      </c>
      <c r="AK40" s="227">
        <f>-Покупка!AK11</f>
        <v>0</v>
      </c>
      <c r="AL40" s="227">
        <f>-Покупка!AL11</f>
        <v>0</v>
      </c>
      <c r="AM40" s="227">
        <f>-Покупка!AM11</f>
        <v>0</v>
      </c>
      <c r="AN40" s="227">
        <f>-Покупка!AN11</f>
        <v>0</v>
      </c>
      <c r="AO40" s="227">
        <f>-Покупка!AO11</f>
        <v>0</v>
      </c>
      <c r="AP40" s="227">
        <f>-Покупка!AP11</f>
        <v>0</v>
      </c>
      <c r="AQ40" s="227">
        <f>-Покупка!AQ11</f>
        <v>0</v>
      </c>
      <c r="AR40" s="227">
        <f>-Покупка!AR11</f>
        <v>0</v>
      </c>
      <c r="AS40" s="227">
        <f>-Покупка!AS11</f>
        <v>0</v>
      </c>
      <c r="AT40" s="227">
        <f>-Покупка!AT11</f>
        <v>0</v>
      </c>
      <c r="AU40" s="227">
        <f>-Покупка!AU11</f>
        <v>0</v>
      </c>
      <c r="AV40" s="227">
        <f>-Покупка!AV11</f>
        <v>0</v>
      </c>
      <c r="AW40" s="227">
        <f>-Покупка!AW11</f>
        <v>0</v>
      </c>
      <c r="AX40" s="227">
        <f>-Покупка!AX11</f>
        <v>0</v>
      </c>
      <c r="AY40" s="227">
        <f>-Покупка!AY11</f>
        <v>0</v>
      </c>
      <c r="AZ40" s="227">
        <f>-Покупка!AZ11</f>
        <v>0</v>
      </c>
      <c r="BA40" s="227">
        <f>-Покупка!BA11</f>
        <v>0</v>
      </c>
      <c r="BB40" s="227">
        <f>-Покупка!BB11</f>
        <v>0</v>
      </c>
    </row>
    <row r="41" spans="1:54" x14ac:dyDescent="0.25">
      <c r="A41" t="s">
        <v>200</v>
      </c>
      <c r="E41" s="227">
        <f>-Покупка!E13</f>
        <v>21800</v>
      </c>
      <c r="F41" s="227">
        <f>-Покупка!F13</f>
        <v>23762</v>
      </c>
      <c r="G41" s="227">
        <f>-Покупка!G13</f>
        <v>25900.580000000005</v>
      </c>
      <c r="H41" s="227">
        <f>-Покупка!H13</f>
        <v>28231.632200000007</v>
      </c>
      <c r="I41" s="227">
        <f>-Покупка!I13</f>
        <v>30772.479098000011</v>
      </c>
      <c r="J41" s="227">
        <f>-Покупка!J13</f>
        <v>33542.002216820016</v>
      </c>
      <c r="K41" s="227">
        <f>-Покупка!K13</f>
        <v>36560.782416333815</v>
      </c>
      <c r="L41" s="227">
        <f>-Покупка!L13</f>
        <v>39851.252833803861</v>
      </c>
      <c r="M41" s="227">
        <f>-Покупка!M13</f>
        <v>43437.865588846216</v>
      </c>
      <c r="N41" s="227">
        <f>-Покупка!N13</f>
        <v>47347.273491842374</v>
      </c>
      <c r="O41" s="227">
        <f>-Покупка!O13</f>
        <v>51608.528106108191</v>
      </c>
      <c r="P41" s="227">
        <f>-Покупка!P13</f>
        <v>56253.295635657931</v>
      </c>
      <c r="Q41" s="227">
        <f>-Покупка!Q13</f>
        <v>61316.092242867147</v>
      </c>
      <c r="R41" s="227">
        <f>-Покупка!R13</f>
        <v>66834.540544725198</v>
      </c>
      <c r="S41" s="227">
        <f>-Покупка!S13</f>
        <v>72849.649193750476</v>
      </c>
      <c r="T41" s="227">
        <f>-Покупка!T13</f>
        <v>0</v>
      </c>
      <c r="U41" s="227">
        <f>-Покупка!U13</f>
        <v>0</v>
      </c>
      <c r="V41" s="227">
        <f>-Покупка!V13</f>
        <v>0</v>
      </c>
      <c r="W41" s="227">
        <f>-Покупка!W13</f>
        <v>0</v>
      </c>
      <c r="X41" s="227">
        <f>-Покупка!X13</f>
        <v>0</v>
      </c>
      <c r="Y41" s="227">
        <f>-Покупка!Y13</f>
        <v>0</v>
      </c>
      <c r="Z41" s="227">
        <f>-Покупка!Z13</f>
        <v>0</v>
      </c>
      <c r="AA41" s="227">
        <f>-Покупка!AA13</f>
        <v>0</v>
      </c>
      <c r="AB41" s="227">
        <f>-Покупка!AB13</f>
        <v>0</v>
      </c>
      <c r="AC41" s="227">
        <f>-Покупка!AC13</f>
        <v>0</v>
      </c>
      <c r="AD41" s="227">
        <f>-Покупка!AD13</f>
        <v>0</v>
      </c>
      <c r="AE41" s="227">
        <f>-Покупка!AE13</f>
        <v>0</v>
      </c>
      <c r="AF41" s="227">
        <f>-Покупка!AF13</f>
        <v>0</v>
      </c>
      <c r="AG41" s="227">
        <f>-Покупка!AG13</f>
        <v>0</v>
      </c>
      <c r="AH41" s="227">
        <f>-Покупка!AH13</f>
        <v>0</v>
      </c>
      <c r="AI41" s="227">
        <f>-Покупка!AI13</f>
        <v>0</v>
      </c>
      <c r="AJ41" s="227">
        <f>-Покупка!AJ13</f>
        <v>0</v>
      </c>
      <c r="AK41" s="227">
        <f>-Покупка!AK13</f>
        <v>0</v>
      </c>
      <c r="AL41" s="227">
        <f>-Покупка!AL13</f>
        <v>0</v>
      </c>
      <c r="AM41" s="227">
        <f>-Покупка!AM13</f>
        <v>0</v>
      </c>
      <c r="AN41" s="227">
        <f>-Покупка!AN13</f>
        <v>0</v>
      </c>
      <c r="AO41" s="227">
        <f>-Покупка!AO13</f>
        <v>0</v>
      </c>
      <c r="AP41" s="227">
        <f>-Покупка!AP13</f>
        <v>0</v>
      </c>
      <c r="AQ41" s="227">
        <f>-Покупка!AQ13</f>
        <v>0</v>
      </c>
      <c r="AR41" s="227">
        <f>-Покупка!AR13</f>
        <v>0</v>
      </c>
      <c r="AS41" s="227">
        <f>-Покупка!AS13</f>
        <v>0</v>
      </c>
      <c r="AT41" s="227">
        <f>-Покупка!AT13</f>
        <v>0</v>
      </c>
      <c r="AU41" s="227">
        <f>-Покупка!AU13</f>
        <v>0</v>
      </c>
      <c r="AV41" s="227">
        <f>-Покупка!AV13</f>
        <v>0</v>
      </c>
      <c r="AW41" s="227">
        <f>-Покупка!AW13</f>
        <v>0</v>
      </c>
      <c r="AX41" s="227">
        <f>-Покупка!AX13</f>
        <v>0</v>
      </c>
      <c r="AY41" s="227">
        <f>-Покупка!AY13</f>
        <v>0</v>
      </c>
      <c r="AZ41" s="227">
        <f>-Покупка!AZ13</f>
        <v>0</v>
      </c>
      <c r="BA41" s="227">
        <f>-Покупка!BA13</f>
        <v>0</v>
      </c>
      <c r="BB41" s="227">
        <f>-Покупка!BB13</f>
        <v>0</v>
      </c>
    </row>
    <row r="42" spans="1:54" x14ac:dyDescent="0.25">
      <c r="A42" t="s">
        <v>201</v>
      </c>
      <c r="E42" s="227">
        <f>-SUM(Покупка!E14:E16)</f>
        <v>0</v>
      </c>
      <c r="F42" s="227">
        <f>-SUM(Покупка!F14:F16)</f>
        <v>0</v>
      </c>
      <c r="G42" s="227">
        <f>-SUM(Покупка!G14:G16)</f>
        <v>0</v>
      </c>
      <c r="H42" s="227">
        <f>-SUM(Покупка!H14:H16)</f>
        <v>0</v>
      </c>
      <c r="I42" s="227">
        <f>-SUM(Покупка!I14:I16)</f>
        <v>0</v>
      </c>
      <c r="J42" s="227">
        <f>-SUM(Покупка!J14:J16)</f>
        <v>0</v>
      </c>
      <c r="K42" s="227">
        <f>-SUM(Покупка!K14:K16)</f>
        <v>0</v>
      </c>
      <c r="L42" s="227">
        <f>-SUM(Покупка!L14:L16)</f>
        <v>0</v>
      </c>
      <c r="M42" s="227">
        <f>-SUM(Покупка!M14:M16)</f>
        <v>0</v>
      </c>
      <c r="N42" s="227">
        <f>-SUM(Покупка!N14:N16)</f>
        <v>0</v>
      </c>
      <c r="O42" s="227">
        <f>-SUM(Покупка!O14:O16)</f>
        <v>0</v>
      </c>
      <c r="P42" s="227">
        <f>-SUM(Покупка!P14:P16)</f>
        <v>0</v>
      </c>
      <c r="Q42" s="227">
        <f>-SUM(Покупка!Q14:Q16)</f>
        <v>0</v>
      </c>
      <c r="R42" s="227">
        <f>-SUM(Покупка!R14:R16)</f>
        <v>0</v>
      </c>
      <c r="S42" s="227">
        <f>-SUM(Покупка!S14:S16)</f>
        <v>0</v>
      </c>
      <c r="T42" s="227">
        <f>-SUM(Покупка!T14:T16)</f>
        <v>0</v>
      </c>
      <c r="U42" s="227">
        <f>-SUM(Покупка!U14:U16)</f>
        <v>0</v>
      </c>
      <c r="V42" s="227">
        <f>-SUM(Покупка!V14:V16)</f>
        <v>0</v>
      </c>
      <c r="W42" s="227">
        <f>-SUM(Покупка!W14:W16)</f>
        <v>0</v>
      </c>
      <c r="X42" s="227">
        <f>-SUM(Покупка!X14:X16)</f>
        <v>0</v>
      </c>
      <c r="Y42" s="227">
        <f>-SUM(Покупка!Y14:Y16)</f>
        <v>0</v>
      </c>
      <c r="Z42" s="227">
        <f>-SUM(Покупка!Z14:Z16)</f>
        <v>0</v>
      </c>
      <c r="AA42" s="227">
        <f>-SUM(Покупка!AA14:AA16)</f>
        <v>0</v>
      </c>
      <c r="AB42" s="227">
        <f>-SUM(Покупка!AB14:AB16)</f>
        <v>0</v>
      </c>
      <c r="AC42" s="227">
        <f>-SUM(Покупка!AC14:AC16)</f>
        <v>0</v>
      </c>
      <c r="AD42" s="227">
        <f>-SUM(Покупка!AD14:AD16)</f>
        <v>0</v>
      </c>
      <c r="AE42" s="227">
        <f>-SUM(Покупка!AE14:AE16)</f>
        <v>0</v>
      </c>
      <c r="AF42" s="227">
        <f>-SUM(Покупка!AF14:AF16)</f>
        <v>0</v>
      </c>
      <c r="AG42" s="227">
        <f>-SUM(Покупка!AG14:AG16)</f>
        <v>0</v>
      </c>
      <c r="AH42" s="227">
        <f>-SUM(Покупка!AH14:AH16)</f>
        <v>0</v>
      </c>
      <c r="AI42" s="227">
        <f>-SUM(Покупка!AI14:AI16)</f>
        <v>0</v>
      </c>
      <c r="AJ42" s="227">
        <f>-SUM(Покупка!AJ14:AJ16)</f>
        <v>0</v>
      </c>
      <c r="AK42" s="227">
        <f>-SUM(Покупка!AK14:AK16)</f>
        <v>0</v>
      </c>
      <c r="AL42" s="227">
        <f>-SUM(Покупка!AL14:AL16)</f>
        <v>0</v>
      </c>
      <c r="AM42" s="227">
        <f>-SUM(Покупка!AM14:AM16)</f>
        <v>0</v>
      </c>
      <c r="AN42" s="227">
        <f>-SUM(Покупка!AN14:AN16)</f>
        <v>0</v>
      </c>
      <c r="AO42" s="227">
        <f>-SUM(Покупка!AO14:AO16)</f>
        <v>0</v>
      </c>
      <c r="AP42" s="227">
        <f>-SUM(Покупка!AP14:AP16)</f>
        <v>0</v>
      </c>
      <c r="AQ42" s="227">
        <f>-SUM(Покупка!AQ14:AQ16)</f>
        <v>0</v>
      </c>
      <c r="AR42" s="227">
        <f>-SUM(Покупка!AR14:AR16)</f>
        <v>0</v>
      </c>
      <c r="AS42" s="227">
        <f>-SUM(Покупка!AS14:AS16)</f>
        <v>0</v>
      </c>
      <c r="AT42" s="227">
        <f>-SUM(Покупка!AT14:AT16)</f>
        <v>0</v>
      </c>
      <c r="AU42" s="227">
        <f>-SUM(Покупка!AU14:AU16)</f>
        <v>0</v>
      </c>
      <c r="AV42" s="227">
        <f>-SUM(Покупка!AV14:AV16)</f>
        <v>0</v>
      </c>
      <c r="AW42" s="227">
        <f>-SUM(Покупка!AW14:AW16)</f>
        <v>0</v>
      </c>
      <c r="AX42" s="227">
        <f>-SUM(Покупка!AX14:AX16)</f>
        <v>0</v>
      </c>
      <c r="AY42" s="227">
        <f>-SUM(Покупка!AY14:AY16)</f>
        <v>0</v>
      </c>
      <c r="AZ42" s="227">
        <f>-SUM(Покупка!AZ14:AZ16)</f>
        <v>0</v>
      </c>
      <c r="BA42" s="227">
        <f>-SUM(Покупка!BA14:BA16)</f>
        <v>0</v>
      </c>
      <c r="BB42" s="227">
        <f>-SUM(Покупка!BB14:BB16)</f>
        <v>0</v>
      </c>
    </row>
    <row r="43" spans="1:54" s="231" customFormat="1" x14ac:dyDescent="0.25">
      <c r="A43" s="231" t="s">
        <v>8</v>
      </c>
      <c r="E43" s="232">
        <f>SUM(E39:E42)</f>
        <v>1051741.1721568718</v>
      </c>
      <c r="F43" s="232">
        <f t="shared" ref="F43:BB43" si="2">SUM(F39:F42)</f>
        <v>1055665.1721568718</v>
      </c>
      <c r="G43" s="232">
        <f t="shared" si="2"/>
        <v>1059942.3321568717</v>
      </c>
      <c r="H43" s="232">
        <f t="shared" si="2"/>
        <v>1064604.4365568717</v>
      </c>
      <c r="I43" s="232">
        <f t="shared" si="2"/>
        <v>1069686.1303528717</v>
      </c>
      <c r="J43" s="232">
        <f t="shared" si="2"/>
        <v>1075225.1765905118</v>
      </c>
      <c r="K43" s="232">
        <f t="shared" si="2"/>
        <v>1081262.7369895391</v>
      </c>
      <c r="L43" s="232">
        <f t="shared" si="2"/>
        <v>1087843.6778244793</v>
      </c>
      <c r="M43" s="232">
        <f t="shared" si="2"/>
        <v>1095016.9033345638</v>
      </c>
      <c r="N43" s="232">
        <f t="shared" si="2"/>
        <v>1102835.7191405564</v>
      </c>
      <c r="O43" s="232">
        <f t="shared" si="2"/>
        <v>1111358.2283690884</v>
      </c>
      <c r="P43" s="232">
        <f t="shared" si="2"/>
        <v>1120647.7634281875</v>
      </c>
      <c r="Q43" s="232">
        <f t="shared" si="2"/>
        <v>1130773.3566426062</v>
      </c>
      <c r="R43" s="232">
        <f t="shared" si="2"/>
        <v>1141810.253246322</v>
      </c>
      <c r="S43" s="232">
        <f t="shared" si="2"/>
        <v>1153840.4705443725</v>
      </c>
      <c r="T43" s="232">
        <f t="shared" si="2"/>
        <v>0</v>
      </c>
      <c r="U43" s="232">
        <f t="shared" si="2"/>
        <v>0</v>
      </c>
      <c r="V43" s="232">
        <f t="shared" si="2"/>
        <v>0</v>
      </c>
      <c r="W43" s="232">
        <f t="shared" si="2"/>
        <v>0</v>
      </c>
      <c r="X43" s="232">
        <f t="shared" si="2"/>
        <v>0</v>
      </c>
      <c r="Y43" s="232">
        <f t="shared" si="2"/>
        <v>0</v>
      </c>
      <c r="Z43" s="232">
        <f t="shared" si="2"/>
        <v>0</v>
      </c>
      <c r="AA43" s="232">
        <f t="shared" si="2"/>
        <v>0</v>
      </c>
      <c r="AB43" s="232">
        <f t="shared" si="2"/>
        <v>0</v>
      </c>
      <c r="AC43" s="232">
        <f t="shared" si="2"/>
        <v>0</v>
      </c>
      <c r="AD43" s="232">
        <f t="shared" si="2"/>
        <v>0</v>
      </c>
      <c r="AE43" s="232">
        <f t="shared" si="2"/>
        <v>0</v>
      </c>
      <c r="AF43" s="232">
        <f t="shared" si="2"/>
        <v>0</v>
      </c>
      <c r="AG43" s="232">
        <f t="shared" si="2"/>
        <v>0</v>
      </c>
      <c r="AH43" s="232">
        <f t="shared" si="2"/>
        <v>0</v>
      </c>
      <c r="AI43" s="232">
        <f t="shared" si="2"/>
        <v>0</v>
      </c>
      <c r="AJ43" s="232">
        <f t="shared" si="2"/>
        <v>0</v>
      </c>
      <c r="AK43" s="232">
        <f t="shared" si="2"/>
        <v>0</v>
      </c>
      <c r="AL43" s="232">
        <f t="shared" si="2"/>
        <v>0</v>
      </c>
      <c r="AM43" s="232">
        <f t="shared" si="2"/>
        <v>0</v>
      </c>
      <c r="AN43" s="232">
        <f t="shared" si="2"/>
        <v>0</v>
      </c>
      <c r="AO43" s="232">
        <f t="shared" si="2"/>
        <v>0</v>
      </c>
      <c r="AP43" s="232">
        <f t="shared" si="2"/>
        <v>0</v>
      </c>
      <c r="AQ43" s="232">
        <f t="shared" si="2"/>
        <v>0</v>
      </c>
      <c r="AR43" s="232">
        <f t="shared" si="2"/>
        <v>0</v>
      </c>
      <c r="AS43" s="232">
        <f t="shared" si="2"/>
        <v>0</v>
      </c>
      <c r="AT43" s="232">
        <f t="shared" si="2"/>
        <v>0</v>
      </c>
      <c r="AU43" s="232">
        <f t="shared" si="2"/>
        <v>0</v>
      </c>
      <c r="AV43" s="232">
        <f t="shared" si="2"/>
        <v>0</v>
      </c>
      <c r="AW43" s="232">
        <f t="shared" si="2"/>
        <v>0</v>
      </c>
      <c r="AX43" s="232">
        <f t="shared" si="2"/>
        <v>0</v>
      </c>
      <c r="AY43" s="232">
        <f t="shared" si="2"/>
        <v>0</v>
      </c>
      <c r="AZ43" s="232">
        <f t="shared" si="2"/>
        <v>0</v>
      </c>
      <c r="BA43" s="232">
        <f t="shared" si="2"/>
        <v>0</v>
      </c>
      <c r="BB43" s="232">
        <f t="shared" si="2"/>
        <v>0</v>
      </c>
    </row>
    <row r="46" spans="1:54" x14ac:dyDescent="0.25">
      <c r="A46" s="230" t="s">
        <v>30</v>
      </c>
    </row>
    <row r="47" spans="1:54" x14ac:dyDescent="0.25">
      <c r="A47" t="str">
        <f>Аренда!B5</f>
        <v>Уменьшение сбережений</v>
      </c>
      <c r="E47" s="227">
        <f>-Аренда!E5</f>
        <v>0</v>
      </c>
      <c r="F47" s="227">
        <f>-Аренда!F5</f>
        <v>0</v>
      </c>
      <c r="G47" s="227">
        <f>-Аренда!G5</f>
        <v>0</v>
      </c>
      <c r="H47" s="227">
        <f>-Аренда!H5</f>
        <v>0</v>
      </c>
      <c r="I47" s="227">
        <f>-Аренда!I5</f>
        <v>0</v>
      </c>
      <c r="J47" s="227">
        <f>-Аренда!J5</f>
        <v>0</v>
      </c>
      <c r="K47" s="227">
        <f>-Аренда!K5</f>
        <v>0</v>
      </c>
      <c r="L47" s="227">
        <f>-Аренда!L5</f>
        <v>0</v>
      </c>
      <c r="M47" s="227">
        <f>-Аренда!M5</f>
        <v>0</v>
      </c>
      <c r="N47" s="227">
        <f>-Аренда!N5</f>
        <v>0</v>
      </c>
      <c r="O47" s="227">
        <f>-Аренда!O5</f>
        <v>0</v>
      </c>
      <c r="P47" s="227">
        <f>-Аренда!P5</f>
        <v>0</v>
      </c>
      <c r="Q47" s="227">
        <f>-Аренда!Q5</f>
        <v>0</v>
      </c>
      <c r="R47" s="227">
        <f>-Аренда!R5</f>
        <v>0</v>
      </c>
      <c r="S47" s="227">
        <f>-Аренда!S5</f>
        <v>0</v>
      </c>
      <c r="T47" s="227">
        <f>-Аренда!T5</f>
        <v>0</v>
      </c>
      <c r="U47" s="227">
        <f>-Аренда!U5</f>
        <v>0</v>
      </c>
      <c r="V47" s="227">
        <f>-Аренда!V5</f>
        <v>0</v>
      </c>
      <c r="W47" s="227">
        <f>-Аренда!W5</f>
        <v>0</v>
      </c>
      <c r="X47" s="227">
        <f>-Аренда!X5</f>
        <v>0</v>
      </c>
      <c r="Y47" s="227">
        <f>-Аренда!Y5</f>
        <v>0</v>
      </c>
      <c r="Z47" s="227">
        <f>-Аренда!Z5</f>
        <v>0</v>
      </c>
      <c r="AA47" s="227">
        <f>-Аренда!AA5</f>
        <v>0</v>
      </c>
      <c r="AB47" s="227">
        <f>-Аренда!AB5</f>
        <v>0</v>
      </c>
      <c r="AC47" s="227">
        <f>-Аренда!AC5</f>
        <v>0</v>
      </c>
      <c r="AD47" s="227">
        <f>-Аренда!AD5</f>
        <v>0</v>
      </c>
      <c r="AE47" s="227">
        <f>-Аренда!AE5</f>
        <v>0</v>
      </c>
      <c r="AF47" s="227">
        <f>-Аренда!AF5</f>
        <v>0</v>
      </c>
      <c r="AG47" s="227">
        <f>-Аренда!AG5</f>
        <v>0</v>
      </c>
      <c r="AH47" s="227">
        <f>-Аренда!AH5</f>
        <v>0</v>
      </c>
      <c r="AI47" s="227">
        <f>-Аренда!AI5</f>
        <v>0</v>
      </c>
      <c r="AJ47" s="227">
        <f>-Аренда!AJ5</f>
        <v>0</v>
      </c>
      <c r="AK47" s="227">
        <f>-Аренда!AK5</f>
        <v>0</v>
      </c>
      <c r="AL47" s="227">
        <f>-Аренда!AL5</f>
        <v>0</v>
      </c>
      <c r="AM47" s="227">
        <f>-Аренда!AM5</f>
        <v>0</v>
      </c>
      <c r="AN47" s="227">
        <f>-Аренда!AN5</f>
        <v>0</v>
      </c>
      <c r="AO47" s="227">
        <f>-Аренда!AO5</f>
        <v>0</v>
      </c>
      <c r="AP47" s="227">
        <f>-Аренда!AP5</f>
        <v>0</v>
      </c>
      <c r="AQ47" s="227">
        <f>-Аренда!AQ5</f>
        <v>0</v>
      </c>
      <c r="AR47" s="227">
        <f>-Аренда!AR5</f>
        <v>0</v>
      </c>
      <c r="AS47" s="227">
        <f>-Аренда!AS5</f>
        <v>0</v>
      </c>
      <c r="AT47" s="227">
        <f>-Аренда!AT5</f>
        <v>0</v>
      </c>
      <c r="AU47" s="227">
        <f>-Аренда!AU5</f>
        <v>0</v>
      </c>
      <c r="AV47" s="227">
        <f>-Аренда!AV5</f>
        <v>0</v>
      </c>
      <c r="AW47" s="227">
        <f>-Аренда!AW5</f>
        <v>0</v>
      </c>
      <c r="AX47" s="227">
        <f>-Аренда!AX5</f>
        <v>0</v>
      </c>
      <c r="AY47" s="227">
        <f>-Аренда!AY5</f>
        <v>0</v>
      </c>
      <c r="AZ47" s="227">
        <f>-Аренда!AZ5</f>
        <v>0</v>
      </c>
      <c r="BA47" s="227">
        <f>-Аренда!BA5</f>
        <v>0</v>
      </c>
      <c r="BB47" s="227">
        <f>-Аренда!BB5</f>
        <v>0</v>
      </c>
    </row>
    <row r="48" spans="1:54" x14ac:dyDescent="0.25">
      <c r="A48" t="str">
        <f>Аренда!B6</f>
        <v>Средние расходы по ЖКУ в год</v>
      </c>
      <c r="E48" s="227">
        <f>-Аренда!E6</f>
        <v>91200</v>
      </c>
      <c r="F48" s="227">
        <f>-Аренда!F6</f>
        <v>98496</v>
      </c>
      <c r="G48" s="227">
        <f>-Аренда!G6</f>
        <v>106375.68000000001</v>
      </c>
      <c r="H48" s="227">
        <f>-Аренда!H6</f>
        <v>114885.73440000002</v>
      </c>
      <c r="I48" s="227">
        <f>-Аренда!I6</f>
        <v>124076.59315200003</v>
      </c>
      <c r="J48" s="227">
        <f>-Аренда!J6</f>
        <v>134002.72060416004</v>
      </c>
      <c r="K48" s="227">
        <f>-Аренда!K6</f>
        <v>144722.93825249287</v>
      </c>
      <c r="L48" s="227">
        <f>-Аренда!L6</f>
        <v>156300.7733126923</v>
      </c>
      <c r="M48" s="227">
        <f>-Аренда!M6</f>
        <v>168804.83517770769</v>
      </c>
      <c r="N48" s="227">
        <f>-Аренда!N6</f>
        <v>182309.22199192431</v>
      </c>
      <c r="O48" s="227">
        <f>-Аренда!O6</f>
        <v>196893.95975127828</v>
      </c>
      <c r="P48" s="227">
        <f>-Аренда!P6</f>
        <v>212645.47653138055</v>
      </c>
      <c r="Q48" s="227">
        <f>-Аренда!Q6</f>
        <v>229657.11465389101</v>
      </c>
      <c r="R48" s="227">
        <f>-Аренда!R6</f>
        <v>248029.68382620229</v>
      </c>
      <c r="S48" s="227">
        <f>-Аренда!S6</f>
        <v>267872.05853229848</v>
      </c>
      <c r="T48" s="227">
        <f>-Аренда!T6</f>
        <v>0</v>
      </c>
      <c r="U48" s="227">
        <f>-Аренда!U6</f>
        <v>0</v>
      </c>
      <c r="V48" s="227">
        <f>-Аренда!V6</f>
        <v>0</v>
      </c>
      <c r="W48" s="227">
        <f>-Аренда!W6</f>
        <v>0</v>
      </c>
      <c r="X48" s="227">
        <f>-Аренда!X6</f>
        <v>0</v>
      </c>
      <c r="Y48" s="227">
        <f>-Аренда!Y6</f>
        <v>0</v>
      </c>
      <c r="Z48" s="227">
        <f>-Аренда!Z6</f>
        <v>0</v>
      </c>
      <c r="AA48" s="227">
        <f>-Аренда!AA6</f>
        <v>0</v>
      </c>
      <c r="AB48" s="227">
        <f>-Аренда!AB6</f>
        <v>0</v>
      </c>
      <c r="AC48" s="227">
        <f>-Аренда!AC6</f>
        <v>0</v>
      </c>
      <c r="AD48" s="227">
        <f>-Аренда!AD6</f>
        <v>0</v>
      </c>
      <c r="AE48" s="227">
        <f>-Аренда!AE6</f>
        <v>0</v>
      </c>
      <c r="AF48" s="227">
        <f>-Аренда!AF6</f>
        <v>0</v>
      </c>
      <c r="AG48" s="227">
        <f>-Аренда!AG6</f>
        <v>0</v>
      </c>
      <c r="AH48" s="227">
        <f>-Аренда!AH6</f>
        <v>0</v>
      </c>
      <c r="AI48" s="227">
        <f>-Аренда!AI6</f>
        <v>0</v>
      </c>
      <c r="AJ48" s="227">
        <f>-Аренда!AJ6</f>
        <v>0</v>
      </c>
      <c r="AK48" s="227">
        <f>-Аренда!AK6</f>
        <v>0</v>
      </c>
      <c r="AL48" s="227">
        <f>-Аренда!AL6</f>
        <v>0</v>
      </c>
      <c r="AM48" s="227">
        <f>-Аренда!AM6</f>
        <v>0</v>
      </c>
      <c r="AN48" s="227">
        <f>-Аренда!AN6</f>
        <v>0</v>
      </c>
      <c r="AO48" s="227">
        <f>-Аренда!AO6</f>
        <v>0</v>
      </c>
      <c r="AP48" s="227">
        <f>-Аренда!AP6</f>
        <v>0</v>
      </c>
      <c r="AQ48" s="227">
        <f>-Аренда!AQ6</f>
        <v>0</v>
      </c>
      <c r="AR48" s="227">
        <f>-Аренда!AR6</f>
        <v>0</v>
      </c>
      <c r="AS48" s="227">
        <f>-Аренда!AS6</f>
        <v>0</v>
      </c>
      <c r="AT48" s="227">
        <f>-Аренда!AT6</f>
        <v>0</v>
      </c>
      <c r="AU48" s="227">
        <f>-Аренда!AU6</f>
        <v>0</v>
      </c>
      <c r="AV48" s="227">
        <f>-Аренда!AV6</f>
        <v>0</v>
      </c>
      <c r="AW48" s="227">
        <f>-Аренда!AW6</f>
        <v>0</v>
      </c>
      <c r="AX48" s="227">
        <f>-Аренда!AX6</f>
        <v>0</v>
      </c>
      <c r="AY48" s="227">
        <f>-Аренда!AY6</f>
        <v>0</v>
      </c>
      <c r="AZ48" s="227">
        <f>-Аренда!AZ6</f>
        <v>0</v>
      </c>
      <c r="BA48" s="227">
        <f>-Аренда!BA6</f>
        <v>0</v>
      </c>
      <c r="BB48" s="227">
        <f>-Аренда!BB6</f>
        <v>0</v>
      </c>
    </row>
    <row r="49" spans="1:54" s="231" customFormat="1" x14ac:dyDescent="0.25">
      <c r="A49" s="231" t="s">
        <v>30</v>
      </c>
      <c r="E49" s="232">
        <f>SUM(E47:E48)</f>
        <v>91200</v>
      </c>
      <c r="F49" s="232">
        <f t="shared" ref="F49:BB49" si="3">SUM(F47:F48)</f>
        <v>98496</v>
      </c>
      <c r="G49" s="232">
        <f t="shared" si="3"/>
        <v>106375.68000000001</v>
      </c>
      <c r="H49" s="232">
        <f t="shared" si="3"/>
        <v>114885.73440000002</v>
      </c>
      <c r="I49" s="232">
        <f t="shared" si="3"/>
        <v>124076.59315200003</v>
      </c>
      <c r="J49" s="232">
        <f t="shared" si="3"/>
        <v>134002.72060416004</v>
      </c>
      <c r="K49" s="232">
        <f t="shared" si="3"/>
        <v>144722.93825249287</v>
      </c>
      <c r="L49" s="232">
        <f t="shared" si="3"/>
        <v>156300.7733126923</v>
      </c>
      <c r="M49" s="232">
        <f t="shared" si="3"/>
        <v>168804.83517770769</v>
      </c>
      <c r="N49" s="232">
        <f t="shared" si="3"/>
        <v>182309.22199192431</v>
      </c>
      <c r="O49" s="232">
        <f t="shared" si="3"/>
        <v>196893.95975127828</v>
      </c>
      <c r="P49" s="232">
        <f t="shared" si="3"/>
        <v>212645.47653138055</v>
      </c>
      <c r="Q49" s="232">
        <f t="shared" si="3"/>
        <v>229657.11465389101</v>
      </c>
      <c r="R49" s="232">
        <f t="shared" si="3"/>
        <v>248029.68382620229</v>
      </c>
      <c r="S49" s="232">
        <f t="shared" si="3"/>
        <v>267872.05853229848</v>
      </c>
      <c r="T49" s="232">
        <f t="shared" si="3"/>
        <v>0</v>
      </c>
      <c r="U49" s="232">
        <f t="shared" si="3"/>
        <v>0</v>
      </c>
      <c r="V49" s="232">
        <f t="shared" si="3"/>
        <v>0</v>
      </c>
      <c r="W49" s="232">
        <f t="shared" si="3"/>
        <v>0</v>
      </c>
      <c r="X49" s="232">
        <f t="shared" si="3"/>
        <v>0</v>
      </c>
      <c r="Y49" s="232">
        <f t="shared" si="3"/>
        <v>0</v>
      </c>
      <c r="Z49" s="232">
        <f t="shared" si="3"/>
        <v>0</v>
      </c>
      <c r="AA49" s="232">
        <f t="shared" si="3"/>
        <v>0</v>
      </c>
      <c r="AB49" s="232">
        <f t="shared" si="3"/>
        <v>0</v>
      </c>
      <c r="AC49" s="232">
        <f t="shared" si="3"/>
        <v>0</v>
      </c>
      <c r="AD49" s="232">
        <f t="shared" si="3"/>
        <v>0</v>
      </c>
      <c r="AE49" s="232">
        <f t="shared" si="3"/>
        <v>0</v>
      </c>
      <c r="AF49" s="232">
        <f t="shared" si="3"/>
        <v>0</v>
      </c>
      <c r="AG49" s="232">
        <f t="shared" si="3"/>
        <v>0</v>
      </c>
      <c r="AH49" s="232">
        <f t="shared" si="3"/>
        <v>0</v>
      </c>
      <c r="AI49" s="232">
        <f t="shared" si="3"/>
        <v>0</v>
      </c>
      <c r="AJ49" s="232">
        <f t="shared" si="3"/>
        <v>0</v>
      </c>
      <c r="AK49" s="232">
        <f t="shared" si="3"/>
        <v>0</v>
      </c>
      <c r="AL49" s="232">
        <f t="shared" si="3"/>
        <v>0</v>
      </c>
      <c r="AM49" s="232">
        <f t="shared" si="3"/>
        <v>0</v>
      </c>
      <c r="AN49" s="232">
        <f t="shared" si="3"/>
        <v>0</v>
      </c>
      <c r="AO49" s="232">
        <f t="shared" si="3"/>
        <v>0</v>
      </c>
      <c r="AP49" s="232">
        <f t="shared" si="3"/>
        <v>0</v>
      </c>
      <c r="AQ49" s="232">
        <f t="shared" si="3"/>
        <v>0</v>
      </c>
      <c r="AR49" s="232">
        <f t="shared" si="3"/>
        <v>0</v>
      </c>
      <c r="AS49" s="232">
        <f t="shared" si="3"/>
        <v>0</v>
      </c>
      <c r="AT49" s="232">
        <f t="shared" si="3"/>
        <v>0</v>
      </c>
      <c r="AU49" s="232">
        <f t="shared" si="3"/>
        <v>0</v>
      </c>
      <c r="AV49" s="232">
        <f t="shared" si="3"/>
        <v>0</v>
      </c>
      <c r="AW49" s="232">
        <f t="shared" si="3"/>
        <v>0</v>
      </c>
      <c r="AX49" s="232">
        <f t="shared" si="3"/>
        <v>0</v>
      </c>
      <c r="AY49" s="232">
        <f t="shared" si="3"/>
        <v>0</v>
      </c>
      <c r="AZ49" s="232">
        <f t="shared" si="3"/>
        <v>0</v>
      </c>
      <c r="BA49" s="232">
        <f t="shared" si="3"/>
        <v>0</v>
      </c>
      <c r="BB49" s="232">
        <f t="shared" si="3"/>
        <v>0</v>
      </c>
    </row>
    <row r="76" spans="1:54" x14ac:dyDescent="0.25">
      <c r="D76">
        <v>0</v>
      </c>
      <c r="E76">
        <v>1</v>
      </c>
      <c r="F76">
        <v>2</v>
      </c>
      <c r="G76">
        <v>3</v>
      </c>
      <c r="H76">
        <v>4</v>
      </c>
      <c r="I76">
        <v>5</v>
      </c>
      <c r="J76">
        <v>6</v>
      </c>
      <c r="K76">
        <v>7</v>
      </c>
      <c r="L76">
        <v>8</v>
      </c>
      <c r="M76">
        <v>9</v>
      </c>
      <c r="N76">
        <v>10</v>
      </c>
      <c r="O76">
        <v>11</v>
      </c>
      <c r="P76">
        <v>12</v>
      </c>
      <c r="Q76">
        <v>13</v>
      </c>
      <c r="R76">
        <v>14</v>
      </c>
      <c r="S76">
        <v>15</v>
      </c>
      <c r="T76">
        <v>16</v>
      </c>
      <c r="U76">
        <v>17</v>
      </c>
      <c r="V76">
        <v>18</v>
      </c>
      <c r="W76">
        <v>19</v>
      </c>
      <c r="X76">
        <v>20</v>
      </c>
      <c r="Y76">
        <v>21</v>
      </c>
      <c r="Z76">
        <v>22</v>
      </c>
      <c r="AA76">
        <v>23</v>
      </c>
      <c r="AB76">
        <v>24</v>
      </c>
      <c r="AC76">
        <v>25</v>
      </c>
      <c r="AD76">
        <v>26</v>
      </c>
      <c r="AE76">
        <v>27</v>
      </c>
      <c r="AF76">
        <v>28</v>
      </c>
      <c r="AG76">
        <v>29</v>
      </c>
      <c r="AH76">
        <v>30</v>
      </c>
      <c r="AI76">
        <v>31</v>
      </c>
      <c r="AJ76">
        <v>32</v>
      </c>
      <c r="AK76">
        <v>33</v>
      </c>
      <c r="AL76">
        <v>34</v>
      </c>
      <c r="AM76">
        <v>35</v>
      </c>
      <c r="AN76">
        <v>36</v>
      </c>
      <c r="AO76">
        <v>37</v>
      </c>
      <c r="AP76">
        <v>38</v>
      </c>
      <c r="AQ76">
        <v>39</v>
      </c>
      <c r="AR76">
        <v>40</v>
      </c>
      <c r="AS76">
        <v>41</v>
      </c>
      <c r="AT76">
        <v>42</v>
      </c>
      <c r="AU76">
        <v>43</v>
      </c>
      <c r="AV76">
        <v>44</v>
      </c>
      <c r="AW76">
        <v>45</v>
      </c>
      <c r="AX76">
        <v>46</v>
      </c>
      <c r="AY76">
        <v>47</v>
      </c>
      <c r="AZ76">
        <v>48</v>
      </c>
      <c r="BA76">
        <v>49</v>
      </c>
      <c r="BB76">
        <v>50</v>
      </c>
    </row>
    <row r="77" spans="1:54" x14ac:dyDescent="0.25">
      <c r="A77" t="s">
        <v>210</v>
      </c>
      <c r="D77" s="267">
        <f>Аренда!D17</f>
        <v>-3500000</v>
      </c>
      <c r="E77" s="267">
        <f>Аренда!E17</f>
        <v>-333784.37143713335</v>
      </c>
      <c r="F77" s="267">
        <f>Аренда!F17</f>
        <v>-569138.22642259113</v>
      </c>
      <c r="G77" s="267">
        <f>Аренда!G17</f>
        <v>-542381.82035486191</v>
      </c>
      <c r="H77" s="267">
        <f>Аренда!H17</f>
        <v>-536053.54481290048</v>
      </c>
      <c r="I77" s="267">
        <f>Аренда!I17</f>
        <v>-575632.56685287156</v>
      </c>
      <c r="J77" s="267">
        <f>Аренда!J17</f>
        <v>-536706.79237551161</v>
      </c>
      <c r="K77" s="267">
        <f>Аренда!K17</f>
        <v>-494277.69819518889</v>
      </c>
      <c r="L77" s="267">
        <f>Аренда!L17</f>
        <v>-448029.98553863738</v>
      </c>
      <c r="M77" s="267">
        <f>Аренда!M17</f>
        <v>-397619.97874299623</v>
      </c>
      <c r="N77" s="267">
        <f>Аренда!N17</f>
        <v>-342673.07133574761</v>
      </c>
      <c r="O77" s="267">
        <f>Аренда!O17</f>
        <v>-282780.94226184674</v>
      </c>
      <c r="P77" s="267">
        <f>Аренда!P17</f>
        <v>-217498.52157129406</v>
      </c>
      <c r="Q77" s="267">
        <f>Аренда!Q17</f>
        <v>-146340.6830185923</v>
      </c>
      <c r="R77" s="267">
        <f>Аренда!R17</f>
        <v>-68778.638996146852</v>
      </c>
      <c r="S77" s="267">
        <f>Аренда!S17</f>
        <v>46654623.152198926</v>
      </c>
      <c r="T77" s="267">
        <f>Аренда!T17</f>
        <v>0</v>
      </c>
      <c r="U77" s="267">
        <f>Аренда!U17</f>
        <v>0</v>
      </c>
      <c r="V77" s="267">
        <f>Аренда!V17</f>
        <v>0</v>
      </c>
      <c r="W77" s="267">
        <f>Аренда!W17</f>
        <v>0</v>
      </c>
      <c r="X77" s="267">
        <f>Аренда!X17</f>
        <v>0</v>
      </c>
      <c r="Y77" s="267">
        <f>Аренда!Y17</f>
        <v>0</v>
      </c>
      <c r="Z77" s="267">
        <f>Аренда!Z17</f>
        <v>0</v>
      </c>
      <c r="AA77" s="267">
        <f>Аренда!AA17</f>
        <v>0</v>
      </c>
      <c r="AB77" s="267">
        <f>Аренда!AB17</f>
        <v>0</v>
      </c>
      <c r="AC77" s="267">
        <f>Аренда!AC17</f>
        <v>0</v>
      </c>
      <c r="AD77" s="267">
        <f>Аренда!AD17</f>
        <v>0</v>
      </c>
      <c r="AE77" s="267">
        <f>Аренда!AE17</f>
        <v>0</v>
      </c>
      <c r="AF77" s="267">
        <f>Аренда!AF17</f>
        <v>0</v>
      </c>
      <c r="AG77" s="267">
        <f>Аренда!AG17</f>
        <v>0</v>
      </c>
      <c r="AH77" s="267">
        <f>Аренда!AH17</f>
        <v>0</v>
      </c>
      <c r="AI77" s="267">
        <f>Аренда!AI17</f>
        <v>0</v>
      </c>
      <c r="AJ77" s="267">
        <f>Аренда!AJ17</f>
        <v>0</v>
      </c>
      <c r="AK77" s="267">
        <f>Аренда!AK17</f>
        <v>0</v>
      </c>
      <c r="AL77" s="267">
        <f>Аренда!AL17</f>
        <v>0</v>
      </c>
      <c r="AM77" s="267">
        <f>Аренда!AM17</f>
        <v>0</v>
      </c>
      <c r="AN77" s="267">
        <f>Аренда!AN17</f>
        <v>0</v>
      </c>
      <c r="AO77" s="267">
        <f>Аренда!AO17</f>
        <v>0</v>
      </c>
      <c r="AP77" s="267">
        <f>Аренда!AP17</f>
        <v>0</v>
      </c>
      <c r="AQ77" s="267">
        <f>Аренда!AQ17</f>
        <v>0</v>
      </c>
      <c r="AR77" s="267">
        <f>Аренда!AR17</f>
        <v>0</v>
      </c>
      <c r="AS77" s="267">
        <f>Аренда!AS17</f>
        <v>0</v>
      </c>
      <c r="AT77" s="267">
        <f>Аренда!AT17</f>
        <v>0</v>
      </c>
      <c r="AU77" s="267">
        <f>Аренда!AU17</f>
        <v>0</v>
      </c>
      <c r="AV77" s="267">
        <f>Аренда!AV17</f>
        <v>0</v>
      </c>
      <c r="AW77" s="267">
        <f>Аренда!AW17</f>
        <v>0</v>
      </c>
      <c r="AX77" s="267">
        <f>Аренда!AX17</f>
        <v>0</v>
      </c>
      <c r="AY77" s="267">
        <f>Аренда!AY17</f>
        <v>0</v>
      </c>
      <c r="AZ77" s="267">
        <f>Аренда!AZ17</f>
        <v>0</v>
      </c>
      <c r="BA77" s="267">
        <f>Аренда!BA17</f>
        <v>0</v>
      </c>
      <c r="BB77" s="267">
        <f>Аренда!BB17</f>
        <v>0</v>
      </c>
    </row>
    <row r="78" spans="1:54" x14ac:dyDescent="0.25">
      <c r="A78" t="s">
        <v>211</v>
      </c>
      <c r="D78" s="267">
        <f>Покупка!D51</f>
        <v>-3500000</v>
      </c>
      <c r="E78" s="267">
        <f>Покупка!E51</f>
        <v>-333784.37143713335</v>
      </c>
      <c r="F78" s="267">
        <f>Покупка!F51</f>
        <v>-569138.22642259113</v>
      </c>
      <c r="G78" s="267">
        <f>Покупка!G51</f>
        <v>-542381.82035486191</v>
      </c>
      <c r="H78" s="267">
        <f>Покупка!H51</f>
        <v>-536053.54481290048</v>
      </c>
      <c r="I78" s="267">
        <f>Покупка!I51</f>
        <v>-575632.56685287156</v>
      </c>
      <c r="J78" s="267">
        <f>Покупка!J51</f>
        <v>-536706.79237551161</v>
      </c>
      <c r="K78" s="267">
        <f>Покупка!K51</f>
        <v>-494277.69819518889</v>
      </c>
      <c r="L78" s="267">
        <f>Покупка!L51</f>
        <v>-448029.98553863738</v>
      </c>
      <c r="M78" s="267">
        <f>Покупка!M51</f>
        <v>-397619.97874299623</v>
      </c>
      <c r="N78" s="267">
        <f>Покупка!N51</f>
        <v>-342673.07133574761</v>
      </c>
      <c r="O78" s="267">
        <f>Покупка!O51</f>
        <v>-282780.94226184674</v>
      </c>
      <c r="P78" s="267">
        <f>Покупка!P51</f>
        <v>-217498.52157129406</v>
      </c>
      <c r="Q78" s="267">
        <f>Покупка!Q51</f>
        <v>-146340.6830185923</v>
      </c>
      <c r="R78" s="267">
        <f>Покупка!R51</f>
        <v>-68778.638996146852</v>
      </c>
      <c r="S78" s="267">
        <f>Покупка!S51</f>
        <v>35347843.847957276</v>
      </c>
      <c r="T78" s="267">
        <f>Покупка!T51</f>
        <v>0</v>
      </c>
      <c r="U78" s="267">
        <f>Покупка!U51</f>
        <v>0</v>
      </c>
      <c r="V78" s="267">
        <f>Покупка!V51</f>
        <v>0</v>
      </c>
      <c r="W78" s="267">
        <f>Покупка!W51</f>
        <v>0</v>
      </c>
      <c r="X78" s="267">
        <f>Покупка!X51</f>
        <v>0</v>
      </c>
      <c r="Y78" s="267">
        <f>Покупка!Y51</f>
        <v>0</v>
      </c>
      <c r="Z78" s="267">
        <f>Покупка!Z51</f>
        <v>0</v>
      </c>
      <c r="AA78" s="267">
        <f>Покупка!AA51</f>
        <v>0</v>
      </c>
      <c r="AB78" s="267">
        <f>Покупка!AB51</f>
        <v>0</v>
      </c>
      <c r="AC78" s="267">
        <f>Покупка!AC51</f>
        <v>0</v>
      </c>
      <c r="AD78" s="267">
        <f>Покупка!AD51</f>
        <v>0</v>
      </c>
      <c r="AE78" s="267">
        <f>Покупка!AE51</f>
        <v>0</v>
      </c>
      <c r="AF78" s="267">
        <f>Покупка!AF51</f>
        <v>0</v>
      </c>
      <c r="AG78" s="267">
        <f>Покупка!AG51</f>
        <v>0</v>
      </c>
      <c r="AH78" s="267">
        <f>Покупка!AH51</f>
        <v>0</v>
      </c>
      <c r="AI78" s="267">
        <f>Покупка!AI51</f>
        <v>0</v>
      </c>
      <c r="AJ78" s="267">
        <f>Покупка!AJ51</f>
        <v>0</v>
      </c>
      <c r="AK78" s="267">
        <f>Покупка!AK51</f>
        <v>0</v>
      </c>
      <c r="AL78" s="267">
        <f>Покупка!AL51</f>
        <v>0</v>
      </c>
      <c r="AM78" s="267">
        <f>Покупка!AM51</f>
        <v>0</v>
      </c>
      <c r="AN78" s="267">
        <f>Покупка!AN51</f>
        <v>0</v>
      </c>
      <c r="AO78" s="267">
        <f>Покупка!AO51</f>
        <v>0</v>
      </c>
      <c r="AP78" s="267">
        <f>Покупка!AP51</f>
        <v>0</v>
      </c>
      <c r="AQ78" s="267">
        <f>Покупка!AQ51</f>
        <v>0</v>
      </c>
      <c r="AR78" s="267">
        <f>Покупка!AR51</f>
        <v>0</v>
      </c>
      <c r="AS78" s="267">
        <f>Покупка!AS51</f>
        <v>0</v>
      </c>
      <c r="AT78" s="267">
        <f>Покупка!AT51</f>
        <v>0</v>
      </c>
      <c r="AU78" s="267">
        <f>Покупка!AU51</f>
        <v>0</v>
      </c>
      <c r="AV78" s="267">
        <f>Покупка!AV51</f>
        <v>0</v>
      </c>
      <c r="AW78" s="267">
        <f>Покупка!AW51</f>
        <v>0</v>
      </c>
      <c r="AX78" s="267">
        <f>Покупка!AX51</f>
        <v>0</v>
      </c>
      <c r="AY78" s="267">
        <f>Покупка!AY51</f>
        <v>0</v>
      </c>
      <c r="AZ78" s="267">
        <f>Покупка!AZ51</f>
        <v>0</v>
      </c>
      <c r="BA78" s="267">
        <f>Покупка!BA51</f>
        <v>0</v>
      </c>
      <c r="BB78" s="267">
        <f>Покупка!BB51</f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Вступление</vt:lpstr>
      <vt:lpstr>Вводные</vt:lpstr>
      <vt:lpstr>Документация</vt:lpstr>
      <vt:lpstr>Рассчёты и доп. данные -&gt;</vt:lpstr>
      <vt:lpstr>Аренда</vt:lpstr>
      <vt:lpstr>Покупка</vt:lpstr>
      <vt:lpstr>Ипотека</vt:lpstr>
      <vt:lpstr>Налоговые вычеты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Заплаткин Максим Русланович</dc:creator>
  <cp:lastModifiedBy>Заплаткин Максим Русланович</cp:lastModifiedBy>
  <dcterms:created xsi:type="dcterms:W3CDTF">2025-08-28T11:46:07Z</dcterms:created>
  <dcterms:modified xsi:type="dcterms:W3CDTF">2026-03-25T12:40:16Z</dcterms:modified>
  <cp:contentStatus/>
</cp:coreProperties>
</file>